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defaultThemeVersion="124226"/>
  <mc:AlternateContent xmlns:mc="http://schemas.openxmlformats.org/markup-compatibility/2006">
    <mc:Choice Requires="x15">
      <x15ac:absPath xmlns:x15ac="http://schemas.microsoft.com/office/spreadsheetml/2010/11/ac" url="/Users/a1066578/Box Sync/Adelaide/Fellowship/Admin/FInal rpeort/Bowles et al. 2018 Adel/"/>
    </mc:Choice>
  </mc:AlternateContent>
  <bookViews>
    <workbookView xWindow="240" yWindow="460" windowWidth="19980" windowHeight="8320" tabRatio="827" activeTab="1" xr2:uid="{00000000-000D-0000-FFFF-FFFF00000000}"/>
  </bookViews>
  <sheets>
    <sheet name="READ ME" sheetId="13" r:id="rId1"/>
    <sheet name="Data - MYC-water-N" sheetId="6" r:id="rId2"/>
    <sheet name="15N and 13C" sheetId="12" r:id="rId3"/>
    <sheet name="GH light meter" sheetId="1" r:id="rId4"/>
    <sheet name="Colwell P" sheetId="4" r:id="rId5"/>
    <sheet name="DIN plate layouts" sheetId="2" r:id="rId6"/>
    <sheet name="DIN-pre experiment" sheetId="3" r:id="rId7"/>
    <sheet name="dead leaves" sheetId="5" r:id="rId8"/>
    <sheet name="harvest" sheetId="7" r:id="rId9"/>
    <sheet name="DIN results" sheetId="9" r:id="rId10"/>
    <sheet name="P plate layouts" sheetId="10" r:id="rId11"/>
    <sheet name="P results" sheetId="11" r:id="rId12"/>
  </sheets>
  <calcPr calcId="171027"/>
</workbook>
</file>

<file path=xl/calcChain.xml><?xml version="1.0" encoding="utf-8"?>
<calcChain xmlns="http://schemas.openxmlformats.org/spreadsheetml/2006/main">
  <c r="Z4" i="6" l="1"/>
  <c r="Z5" i="6"/>
  <c r="Z6" i="6"/>
  <c r="Z7" i="6"/>
  <c r="Z8" i="6"/>
  <c r="Z9" i="6"/>
  <c r="Z10" i="6"/>
  <c r="Z11" i="6"/>
  <c r="Z12" i="6"/>
  <c r="Z13" i="6"/>
  <c r="Z14" i="6"/>
  <c r="Z15" i="6"/>
  <c r="Z16" i="6"/>
  <c r="Z17" i="6"/>
  <c r="Z18" i="6"/>
  <c r="Z19" i="6"/>
  <c r="Z20" i="6"/>
  <c r="Z21" i="6"/>
  <c r="Z22" i="6"/>
  <c r="Z23" i="6"/>
  <c r="Z24" i="6"/>
  <c r="Z25" i="6"/>
  <c r="Z26"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3" i="6"/>
  <c r="N4" i="12"/>
  <c r="N5" i="12"/>
  <c r="N6" i="12"/>
  <c r="N7" i="12"/>
  <c r="N8" i="12"/>
  <c r="N9" i="12"/>
  <c r="N10" i="12"/>
  <c r="N11" i="12"/>
  <c r="N12" i="12"/>
  <c r="N13" i="12"/>
  <c r="N14" i="12"/>
  <c r="N15" i="12"/>
  <c r="N16" i="12"/>
  <c r="N17" i="12"/>
  <c r="N18" i="12"/>
  <c r="N19" i="12"/>
  <c r="N20" i="12"/>
  <c r="N21" i="12"/>
  <c r="N22" i="12"/>
  <c r="N23" i="12"/>
  <c r="N24" i="12"/>
  <c r="N25" i="12"/>
  <c r="N26"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3" i="12"/>
  <c r="H4" i="12"/>
  <c r="H5" i="12"/>
  <c r="H6" i="12"/>
  <c r="H7" i="12"/>
  <c r="H8" i="12"/>
  <c r="H9" i="12"/>
  <c r="H10" i="12"/>
  <c r="H11" i="12"/>
  <c r="H12" i="12"/>
  <c r="H13" i="12"/>
  <c r="H14" i="12"/>
  <c r="H15" i="12"/>
  <c r="H16" i="12"/>
  <c r="H17" i="12"/>
  <c r="H18" i="12"/>
  <c r="H19" i="12"/>
  <c r="H20" i="12"/>
  <c r="H21" i="12"/>
  <c r="H22" i="12"/>
  <c r="H23" i="12"/>
  <c r="H24" i="12"/>
  <c r="H25" i="12"/>
  <c r="H26"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3" i="12"/>
  <c r="S76" i="9" l="1"/>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72" i="9"/>
  <c r="S73" i="9"/>
  <c r="S74" i="9"/>
  <c r="S75" i="9"/>
  <c r="S71" i="9"/>
  <c r="AQ73" i="11" l="1"/>
  <c r="AQ74" i="11"/>
  <c r="AS74" i="11" s="1"/>
  <c r="AT74" i="11" s="1"/>
  <c r="AV74" i="11" s="1"/>
  <c r="AQ75" i="11"/>
  <c r="AQ76" i="11"/>
  <c r="AQ77" i="11"/>
  <c r="AQ78" i="11"/>
  <c r="AS78" i="11" s="1"/>
  <c r="AT78" i="11" s="1"/>
  <c r="AV78" i="11" s="1"/>
  <c r="AQ79" i="11"/>
  <c r="AQ80" i="11"/>
  <c r="AQ81" i="11"/>
  <c r="AQ82" i="11"/>
  <c r="AS82" i="11" s="1"/>
  <c r="AT82" i="11" s="1"/>
  <c r="AQ83" i="11"/>
  <c r="AQ84" i="11"/>
  <c r="AQ85" i="11"/>
  <c r="AQ86" i="11"/>
  <c r="AS86" i="11" s="1"/>
  <c r="AT86" i="11" s="1"/>
  <c r="AQ87" i="11"/>
  <c r="AQ88" i="11"/>
  <c r="AS88" i="11" s="1"/>
  <c r="AT88" i="11" s="1"/>
  <c r="AQ89" i="11"/>
  <c r="AQ90" i="11"/>
  <c r="AS90" i="11" s="1"/>
  <c r="AT90" i="11" s="1"/>
  <c r="AV90" i="11" s="1"/>
  <c r="AQ91" i="11"/>
  <c r="AQ92" i="11"/>
  <c r="AS92" i="11" s="1"/>
  <c r="AT92" i="11" s="1"/>
  <c r="AQ93" i="11"/>
  <c r="AS93" i="11" s="1"/>
  <c r="AT93" i="11" s="1"/>
  <c r="AV93" i="11" s="1"/>
  <c r="AQ94" i="11"/>
  <c r="AS94" i="11" s="1"/>
  <c r="AT94" i="11" s="1"/>
  <c r="AV94" i="11" s="1"/>
  <c r="AQ95" i="11"/>
  <c r="AQ96" i="11"/>
  <c r="AS96" i="11" s="1"/>
  <c r="AT96" i="11" s="1"/>
  <c r="AQ97" i="11"/>
  <c r="AQ98" i="11"/>
  <c r="AS98" i="11" s="1"/>
  <c r="AT98" i="11" s="1"/>
  <c r="AQ99" i="11"/>
  <c r="AQ100" i="11"/>
  <c r="AS100" i="11" s="1"/>
  <c r="AT100" i="11" s="1"/>
  <c r="AU100" i="11" s="1"/>
  <c r="AQ101" i="11"/>
  <c r="AQ102" i="11"/>
  <c r="AS102" i="11" s="1"/>
  <c r="AT102" i="11" s="1"/>
  <c r="AQ103" i="11"/>
  <c r="AQ104" i="11"/>
  <c r="AS104" i="11" s="1"/>
  <c r="AT104" i="11" s="1"/>
  <c r="AU104" i="11" s="1"/>
  <c r="AQ105" i="11"/>
  <c r="AQ106" i="11"/>
  <c r="AS106" i="11" s="1"/>
  <c r="AT106" i="11" s="1"/>
  <c r="AQ107" i="11"/>
  <c r="AQ108" i="11"/>
  <c r="AS108" i="11" s="1"/>
  <c r="AT108" i="11" s="1"/>
  <c r="AU108" i="11" s="1"/>
  <c r="AQ109" i="11"/>
  <c r="AQ110" i="11"/>
  <c r="AS110" i="11" s="1"/>
  <c r="AT110" i="11" s="1"/>
  <c r="AQ111" i="11"/>
  <c r="AQ112" i="11"/>
  <c r="AS112" i="11" s="1"/>
  <c r="AT112" i="11" s="1"/>
  <c r="AU112" i="11" s="1"/>
  <c r="AQ113" i="11"/>
  <c r="AQ114" i="11"/>
  <c r="AS114" i="11" s="1"/>
  <c r="AT114" i="11" s="1"/>
  <c r="AQ115" i="11"/>
  <c r="AQ116" i="11"/>
  <c r="AS116" i="11" s="1"/>
  <c r="AT116" i="11" s="1"/>
  <c r="AU116" i="11" s="1"/>
  <c r="AQ117" i="11"/>
  <c r="AQ118" i="11"/>
  <c r="AS118" i="11" s="1"/>
  <c r="AT118" i="11" s="1"/>
  <c r="AQ119" i="11"/>
  <c r="AQ120" i="11"/>
  <c r="AS120" i="11" s="1"/>
  <c r="AT120" i="11" s="1"/>
  <c r="AU120" i="11" s="1"/>
  <c r="AQ121" i="11"/>
  <c r="AQ122" i="11"/>
  <c r="AS122" i="11" s="1"/>
  <c r="AT122" i="11" s="1"/>
  <c r="AQ123" i="11"/>
  <c r="AQ124" i="11"/>
  <c r="AS124" i="11" s="1"/>
  <c r="AT124" i="11" s="1"/>
  <c r="AU124" i="11" s="1"/>
  <c r="AQ125" i="11"/>
  <c r="AQ126" i="11"/>
  <c r="AS126" i="11" s="1"/>
  <c r="AT126" i="11" s="1"/>
  <c r="AQ127" i="11"/>
  <c r="AQ128" i="11"/>
  <c r="AS128" i="11" s="1"/>
  <c r="AT128" i="11" s="1"/>
  <c r="AU128" i="11" s="1"/>
  <c r="AQ129" i="11"/>
  <c r="AS129" i="11" s="1"/>
  <c r="AT129" i="11" s="1"/>
  <c r="AV129" i="11" s="1"/>
  <c r="AQ130" i="11"/>
  <c r="AQ131" i="11"/>
  <c r="AQ132" i="11"/>
  <c r="AS132" i="11" s="1"/>
  <c r="AT132" i="11" s="1"/>
  <c r="AU132" i="11" s="1"/>
  <c r="AQ133" i="11"/>
  <c r="AS133" i="11" s="1"/>
  <c r="AT133" i="11" s="1"/>
  <c r="AU133" i="11" s="1"/>
  <c r="AQ134" i="11"/>
  <c r="AS134" i="11" s="1"/>
  <c r="AT134" i="11" s="1"/>
  <c r="AU134" i="11" s="1"/>
  <c r="AQ135" i="11"/>
  <c r="AQ72" i="11"/>
  <c r="AS72" i="11" s="1"/>
  <c r="AT72" i="11" s="1"/>
  <c r="AS131" i="11"/>
  <c r="AT131" i="11" s="1"/>
  <c r="AS130" i="11"/>
  <c r="AT130" i="11" s="1"/>
  <c r="AS127" i="11"/>
  <c r="AT127" i="11" s="1"/>
  <c r="AS125" i="11"/>
  <c r="AT125" i="11" s="1"/>
  <c r="AV125" i="11" s="1"/>
  <c r="AS123" i="11"/>
  <c r="AT123" i="11" s="1"/>
  <c r="AS121" i="11"/>
  <c r="AT121" i="11" s="1"/>
  <c r="AV121" i="11" s="1"/>
  <c r="AS119" i="11"/>
  <c r="AT119" i="11" s="1"/>
  <c r="AS117" i="11"/>
  <c r="AT117" i="11" s="1"/>
  <c r="AV117" i="11" s="1"/>
  <c r="AS115" i="11"/>
  <c r="AT115" i="11" s="1"/>
  <c r="AS113" i="11"/>
  <c r="AT113" i="11" s="1"/>
  <c r="AV113" i="11" s="1"/>
  <c r="AS111" i="11"/>
  <c r="AT111" i="11" s="1"/>
  <c r="AS109" i="11"/>
  <c r="AT109" i="11" s="1"/>
  <c r="AV109" i="11" s="1"/>
  <c r="AS107" i="11"/>
  <c r="AT107" i="11" s="1"/>
  <c r="AS105" i="11"/>
  <c r="AT105" i="11" s="1"/>
  <c r="AV105" i="11" s="1"/>
  <c r="AS103" i="11"/>
  <c r="AT103" i="11" s="1"/>
  <c r="AS101" i="11"/>
  <c r="AT101" i="11" s="1"/>
  <c r="AV101" i="11" s="1"/>
  <c r="AS99" i="11"/>
  <c r="AT99" i="11" s="1"/>
  <c r="AS97" i="11"/>
  <c r="AT97" i="11" s="1"/>
  <c r="AU97" i="11" s="1"/>
  <c r="AS95" i="11"/>
  <c r="AT95" i="11" s="1"/>
  <c r="AS91" i="11"/>
  <c r="AT91" i="11" s="1"/>
  <c r="AS89" i="11"/>
  <c r="AT89" i="11" s="1"/>
  <c r="AV89" i="11" s="1"/>
  <c r="AS87" i="11"/>
  <c r="AT87" i="11" s="1"/>
  <c r="AS85" i="11"/>
  <c r="AT85" i="11" s="1"/>
  <c r="AU85" i="11" s="1"/>
  <c r="AS84" i="11"/>
  <c r="AT84" i="11" s="1"/>
  <c r="AU84" i="11" s="1"/>
  <c r="AS83" i="11"/>
  <c r="AT83" i="11" s="1"/>
  <c r="AS81" i="11"/>
  <c r="AT81" i="11" s="1"/>
  <c r="AU81" i="11" s="1"/>
  <c r="AS80" i="11"/>
  <c r="AT80" i="11" s="1"/>
  <c r="AS79" i="11"/>
  <c r="AT79" i="11" s="1"/>
  <c r="AS77" i="11"/>
  <c r="AT77" i="11" s="1"/>
  <c r="AV77" i="11" s="1"/>
  <c r="AS76" i="11"/>
  <c r="AT76" i="11" s="1"/>
  <c r="AS75" i="11"/>
  <c r="AT75" i="11" s="1"/>
  <c r="AS73" i="11"/>
  <c r="AT73" i="11" s="1"/>
  <c r="AV73" i="11" s="1"/>
  <c r="AV85" i="11" l="1"/>
  <c r="AV134" i="11"/>
  <c r="AV133" i="11"/>
  <c r="AV132" i="11"/>
  <c r="AV97" i="11"/>
  <c r="AV82" i="11"/>
  <c r="AU82" i="11"/>
  <c r="AV98" i="11"/>
  <c r="AU98" i="11"/>
  <c r="AU80" i="11"/>
  <c r="AV80" i="11"/>
  <c r="AV86" i="11"/>
  <c r="AU86" i="11"/>
  <c r="AU96" i="11"/>
  <c r="AV96" i="11"/>
  <c r="AV81" i="11"/>
  <c r="AV108" i="11"/>
  <c r="AV112" i="11"/>
  <c r="AV124" i="11"/>
  <c r="AV128" i="11"/>
  <c r="AU89" i="11"/>
  <c r="AU101" i="11"/>
  <c r="AU105" i="11"/>
  <c r="AU117" i="11"/>
  <c r="AU121" i="11"/>
  <c r="AU73" i="11"/>
  <c r="AU76" i="11"/>
  <c r="AV76" i="11"/>
  <c r="AV99" i="11"/>
  <c r="AU99" i="11"/>
  <c r="AV83" i="11"/>
  <c r="AU83" i="11"/>
  <c r="AV95" i="11"/>
  <c r="AU95" i="11"/>
  <c r="AV79" i="11"/>
  <c r="AU79" i="11"/>
  <c r="AU88" i="11"/>
  <c r="AV88" i="11"/>
  <c r="AU72" i="11"/>
  <c r="AV72" i="11"/>
  <c r="AU92" i="11"/>
  <c r="AV92" i="11"/>
  <c r="AV75" i="11"/>
  <c r="AU75" i="11"/>
  <c r="AV103" i="11"/>
  <c r="AU103" i="11"/>
  <c r="AU110" i="11"/>
  <c r="AV110" i="11"/>
  <c r="AV119" i="11"/>
  <c r="AU119" i="11"/>
  <c r="AV126" i="11"/>
  <c r="AU126" i="11"/>
  <c r="AU74" i="11"/>
  <c r="AU77" i="11"/>
  <c r="AV84" i="11"/>
  <c r="AU90" i="11"/>
  <c r="AU93" i="11"/>
  <c r="AV100" i="11"/>
  <c r="AV107" i="11"/>
  <c r="AU107" i="11"/>
  <c r="AU109" i="11"/>
  <c r="AV114" i="11"/>
  <c r="AU114" i="11"/>
  <c r="AV116" i="11"/>
  <c r="AV123" i="11"/>
  <c r="AU123" i="11"/>
  <c r="AU125" i="11"/>
  <c r="AV130" i="11"/>
  <c r="AU130" i="11"/>
  <c r="AU78" i="11"/>
  <c r="AU94" i="11"/>
  <c r="AU102" i="11"/>
  <c r="AV102" i="11"/>
  <c r="AV104" i="11"/>
  <c r="AV111" i="11"/>
  <c r="AU111" i="11"/>
  <c r="AU113" i="11"/>
  <c r="AV118" i="11"/>
  <c r="AU118" i="11"/>
  <c r="AV120" i="11"/>
  <c r="AV127" i="11"/>
  <c r="AU127" i="11"/>
  <c r="AU129" i="11"/>
  <c r="AV91" i="11"/>
  <c r="AU91" i="11"/>
  <c r="AV87" i="11"/>
  <c r="AU87" i="11"/>
  <c r="AV106" i="11"/>
  <c r="AU106" i="11"/>
  <c r="AV115" i="11"/>
  <c r="AU115" i="11"/>
  <c r="AV122" i="11"/>
  <c r="AU122" i="11"/>
  <c r="AV131" i="11"/>
  <c r="AU131" i="11"/>
  <c r="N10" i="4" l="1"/>
  <c r="P10" i="4" s="1"/>
  <c r="N26" i="4"/>
  <c r="P26" i="4" s="1"/>
  <c r="N42" i="4"/>
  <c r="P42" i="4" s="1"/>
  <c r="N53" i="4"/>
  <c r="P53" i="4" s="1"/>
  <c r="N61" i="4"/>
  <c r="P61" i="4" s="1"/>
  <c r="M7" i="4"/>
  <c r="N7" i="4" s="1"/>
  <c r="P7" i="4" s="1"/>
  <c r="M8" i="4"/>
  <c r="N8" i="4" s="1"/>
  <c r="P8" i="4" s="1"/>
  <c r="M9" i="4"/>
  <c r="N9" i="4" s="1"/>
  <c r="P9" i="4" s="1"/>
  <c r="M10" i="4"/>
  <c r="M11" i="4"/>
  <c r="N11" i="4" s="1"/>
  <c r="P11" i="4" s="1"/>
  <c r="M12" i="4"/>
  <c r="N12" i="4" s="1"/>
  <c r="P12" i="4" s="1"/>
  <c r="M13" i="4"/>
  <c r="N13" i="4" s="1"/>
  <c r="P13" i="4" s="1"/>
  <c r="M14" i="4"/>
  <c r="N14" i="4" s="1"/>
  <c r="P14" i="4" s="1"/>
  <c r="M15" i="4"/>
  <c r="N15" i="4" s="1"/>
  <c r="P15" i="4" s="1"/>
  <c r="M16" i="4"/>
  <c r="N16" i="4" s="1"/>
  <c r="P16" i="4" s="1"/>
  <c r="M17" i="4"/>
  <c r="N17" i="4" s="1"/>
  <c r="P17" i="4" s="1"/>
  <c r="M18" i="4"/>
  <c r="N18" i="4" s="1"/>
  <c r="P18" i="4" s="1"/>
  <c r="M19" i="4"/>
  <c r="N19" i="4" s="1"/>
  <c r="P19" i="4" s="1"/>
  <c r="M20" i="4"/>
  <c r="N20" i="4" s="1"/>
  <c r="P20" i="4" s="1"/>
  <c r="M21" i="4"/>
  <c r="N21" i="4" s="1"/>
  <c r="P21" i="4" s="1"/>
  <c r="M22" i="4"/>
  <c r="N22" i="4" s="1"/>
  <c r="P22" i="4" s="1"/>
  <c r="M23" i="4"/>
  <c r="N23" i="4" s="1"/>
  <c r="P23" i="4" s="1"/>
  <c r="M24" i="4"/>
  <c r="N24" i="4" s="1"/>
  <c r="P24" i="4" s="1"/>
  <c r="M25" i="4"/>
  <c r="N25" i="4" s="1"/>
  <c r="P25" i="4" s="1"/>
  <c r="M26" i="4"/>
  <c r="M27" i="4"/>
  <c r="N27" i="4" s="1"/>
  <c r="P27" i="4" s="1"/>
  <c r="M28" i="4"/>
  <c r="N28" i="4" s="1"/>
  <c r="P28" i="4" s="1"/>
  <c r="M29" i="4"/>
  <c r="N29" i="4" s="1"/>
  <c r="P29" i="4" s="1"/>
  <c r="M30" i="4"/>
  <c r="N30" i="4" s="1"/>
  <c r="P30" i="4" s="1"/>
  <c r="M31" i="4"/>
  <c r="N31" i="4" s="1"/>
  <c r="P31" i="4" s="1"/>
  <c r="M32" i="4"/>
  <c r="N32" i="4" s="1"/>
  <c r="P32" i="4" s="1"/>
  <c r="M33" i="4"/>
  <c r="N33" i="4" s="1"/>
  <c r="P33" i="4" s="1"/>
  <c r="M34" i="4"/>
  <c r="N34" i="4" s="1"/>
  <c r="P34" i="4" s="1"/>
  <c r="M35" i="4"/>
  <c r="N35" i="4" s="1"/>
  <c r="P35" i="4" s="1"/>
  <c r="M36" i="4"/>
  <c r="N36" i="4" s="1"/>
  <c r="P36" i="4" s="1"/>
  <c r="M37" i="4"/>
  <c r="N37" i="4" s="1"/>
  <c r="P37" i="4" s="1"/>
  <c r="M38" i="4"/>
  <c r="N38" i="4" s="1"/>
  <c r="P38" i="4" s="1"/>
  <c r="M39" i="4"/>
  <c r="N39" i="4" s="1"/>
  <c r="P39" i="4" s="1"/>
  <c r="M40" i="4"/>
  <c r="N40" i="4" s="1"/>
  <c r="P40" i="4" s="1"/>
  <c r="M41" i="4"/>
  <c r="N41" i="4" s="1"/>
  <c r="P41" i="4" s="1"/>
  <c r="M42" i="4"/>
  <c r="M43" i="4"/>
  <c r="N43" i="4" s="1"/>
  <c r="P43" i="4" s="1"/>
  <c r="M44" i="4"/>
  <c r="N44" i="4" s="1"/>
  <c r="P44" i="4" s="1"/>
  <c r="M45" i="4"/>
  <c r="N45" i="4" s="1"/>
  <c r="P45" i="4" s="1"/>
  <c r="M46" i="4"/>
  <c r="N46" i="4" s="1"/>
  <c r="P46" i="4" s="1"/>
  <c r="M47" i="4"/>
  <c r="N47" i="4" s="1"/>
  <c r="P47" i="4" s="1"/>
  <c r="M48" i="4"/>
  <c r="N48" i="4" s="1"/>
  <c r="P48" i="4" s="1"/>
  <c r="M49" i="4"/>
  <c r="N49" i="4" s="1"/>
  <c r="P49" i="4" s="1"/>
  <c r="M50" i="4"/>
  <c r="N50" i="4" s="1"/>
  <c r="P50" i="4" s="1"/>
  <c r="M51" i="4"/>
  <c r="N51" i="4" s="1"/>
  <c r="P51" i="4" s="1"/>
  <c r="M52" i="4"/>
  <c r="N52" i="4" s="1"/>
  <c r="P52" i="4" s="1"/>
  <c r="M53" i="4"/>
  <c r="M54" i="4"/>
  <c r="N54" i="4" s="1"/>
  <c r="P54" i="4" s="1"/>
  <c r="M55" i="4"/>
  <c r="N55" i="4" s="1"/>
  <c r="P55" i="4" s="1"/>
  <c r="M56" i="4"/>
  <c r="N56" i="4" s="1"/>
  <c r="P56" i="4" s="1"/>
  <c r="M57" i="4"/>
  <c r="N57" i="4" s="1"/>
  <c r="P57" i="4" s="1"/>
  <c r="M58" i="4"/>
  <c r="N58" i="4" s="1"/>
  <c r="P58" i="4" s="1"/>
  <c r="M59" i="4"/>
  <c r="N59" i="4" s="1"/>
  <c r="P59" i="4" s="1"/>
  <c r="M60" i="4"/>
  <c r="N60" i="4" s="1"/>
  <c r="P60" i="4" s="1"/>
  <c r="M61" i="4"/>
  <c r="M62" i="4"/>
  <c r="N62" i="4" s="1"/>
  <c r="P62" i="4" s="1"/>
  <c r="M63" i="4"/>
  <c r="N63" i="4" s="1"/>
  <c r="P63" i="4" s="1"/>
  <c r="M64" i="4"/>
  <c r="N64" i="4" s="1"/>
  <c r="P64" i="4" s="1"/>
  <c r="M65" i="4"/>
  <c r="N65" i="4" s="1"/>
  <c r="P65" i="4" s="1"/>
  <c r="M6" i="4"/>
  <c r="N6" i="4" s="1"/>
  <c r="P6" i="4" s="1"/>
  <c r="AD110" i="11" l="1"/>
  <c r="AD106" i="11"/>
  <c r="AD102" i="11"/>
  <c r="AD86" i="11"/>
  <c r="AD78" i="11"/>
  <c r="C74" i="11"/>
  <c r="E74" i="11" s="1"/>
  <c r="F74" i="11" s="1"/>
  <c r="C75" i="11"/>
  <c r="C76" i="11"/>
  <c r="E76" i="11" s="1"/>
  <c r="F76" i="11" s="1"/>
  <c r="C77" i="11"/>
  <c r="E77" i="11" s="1"/>
  <c r="F77" i="11" s="1"/>
  <c r="C78" i="11"/>
  <c r="E78" i="11" s="1"/>
  <c r="F78" i="11" s="1"/>
  <c r="C79" i="11"/>
  <c r="C80" i="11"/>
  <c r="E80" i="11" s="1"/>
  <c r="F80" i="11" s="1"/>
  <c r="C81" i="11"/>
  <c r="E81" i="11" s="1"/>
  <c r="F81" i="11" s="1"/>
  <c r="C82" i="11"/>
  <c r="E82" i="11" s="1"/>
  <c r="F82" i="11" s="1"/>
  <c r="C83" i="11"/>
  <c r="C84" i="11"/>
  <c r="E84" i="11" s="1"/>
  <c r="F84" i="11" s="1"/>
  <c r="C85" i="11"/>
  <c r="E85" i="11" s="1"/>
  <c r="F85" i="11" s="1"/>
  <c r="C86" i="11"/>
  <c r="E86" i="11" s="1"/>
  <c r="F86" i="11" s="1"/>
  <c r="C87" i="11"/>
  <c r="C88" i="11"/>
  <c r="E88" i="11" s="1"/>
  <c r="F88" i="11" s="1"/>
  <c r="C89" i="11"/>
  <c r="E89" i="11" s="1"/>
  <c r="F89" i="11" s="1"/>
  <c r="C90" i="11"/>
  <c r="E90" i="11" s="1"/>
  <c r="F90" i="11" s="1"/>
  <c r="C91" i="11"/>
  <c r="C92" i="11"/>
  <c r="E92" i="11" s="1"/>
  <c r="F92" i="11" s="1"/>
  <c r="C93" i="11"/>
  <c r="E93" i="11" s="1"/>
  <c r="F93" i="11" s="1"/>
  <c r="C94" i="11"/>
  <c r="E94" i="11" s="1"/>
  <c r="F94" i="11" s="1"/>
  <c r="C95" i="11"/>
  <c r="C96" i="11"/>
  <c r="E96" i="11" s="1"/>
  <c r="F96" i="11" s="1"/>
  <c r="C97" i="11"/>
  <c r="E97" i="11" s="1"/>
  <c r="F97" i="11" s="1"/>
  <c r="C98" i="11"/>
  <c r="C99" i="11"/>
  <c r="C100" i="11"/>
  <c r="E100" i="11" s="1"/>
  <c r="F100" i="11" s="1"/>
  <c r="C101" i="11"/>
  <c r="E101" i="11" s="1"/>
  <c r="F101" i="11" s="1"/>
  <c r="C102" i="11"/>
  <c r="E102" i="11" s="1"/>
  <c r="F102" i="11" s="1"/>
  <c r="C103" i="11"/>
  <c r="C104" i="11"/>
  <c r="E104" i="11" s="1"/>
  <c r="F104" i="11" s="1"/>
  <c r="C105" i="11"/>
  <c r="E105" i="11" s="1"/>
  <c r="F105" i="11" s="1"/>
  <c r="C106" i="11"/>
  <c r="E106" i="11" s="1"/>
  <c r="F106" i="11" s="1"/>
  <c r="H106" i="11" s="1"/>
  <c r="C107" i="11"/>
  <c r="E107" i="11" s="1"/>
  <c r="F107" i="11" s="1"/>
  <c r="C108" i="11"/>
  <c r="E108" i="11" s="1"/>
  <c r="F108" i="11" s="1"/>
  <c r="C109" i="11"/>
  <c r="C110" i="11"/>
  <c r="E110" i="11" s="1"/>
  <c r="F110" i="11" s="1"/>
  <c r="C111" i="11"/>
  <c r="C112" i="11"/>
  <c r="E112" i="11" s="1"/>
  <c r="F112" i="11" s="1"/>
  <c r="C113" i="11"/>
  <c r="E113" i="11" s="1"/>
  <c r="F113" i="11" s="1"/>
  <c r="C114" i="11"/>
  <c r="E114" i="11" s="1"/>
  <c r="F114" i="11" s="1"/>
  <c r="H114" i="11" s="1"/>
  <c r="C115" i="11"/>
  <c r="C116" i="11"/>
  <c r="C117" i="11"/>
  <c r="E117" i="11" s="1"/>
  <c r="F117" i="11" s="1"/>
  <c r="C118" i="11"/>
  <c r="E118" i="11" s="1"/>
  <c r="F118" i="11" s="1"/>
  <c r="C119" i="11"/>
  <c r="C120" i="11"/>
  <c r="C121" i="11"/>
  <c r="C122" i="11"/>
  <c r="E122" i="11" s="1"/>
  <c r="F122" i="11" s="1"/>
  <c r="H122" i="11" s="1"/>
  <c r="C123" i="11"/>
  <c r="C124" i="11"/>
  <c r="E124" i="11" s="1"/>
  <c r="F124" i="11" s="1"/>
  <c r="C125" i="11"/>
  <c r="E125" i="11" s="1"/>
  <c r="F125" i="11" s="1"/>
  <c r="C126" i="11"/>
  <c r="E126" i="11" s="1"/>
  <c r="F126" i="11" s="1"/>
  <c r="C127" i="11"/>
  <c r="C128" i="11"/>
  <c r="E128" i="11" s="1"/>
  <c r="F128" i="11" s="1"/>
  <c r="C129" i="11"/>
  <c r="C130" i="11"/>
  <c r="E130" i="11" s="1"/>
  <c r="F130" i="11" s="1"/>
  <c r="H130" i="11" s="1"/>
  <c r="C131" i="11"/>
  <c r="E131" i="11" s="1"/>
  <c r="F131" i="11" s="1"/>
  <c r="C132" i="11"/>
  <c r="E132" i="11" s="1"/>
  <c r="F132" i="11" s="1"/>
  <c r="C133" i="11"/>
  <c r="E133" i="11" s="1"/>
  <c r="F133" i="11" s="1"/>
  <c r="C134" i="11"/>
  <c r="C135" i="11"/>
  <c r="C73" i="11"/>
  <c r="E73" i="11" s="1"/>
  <c r="F73" i="11" s="1"/>
  <c r="C72" i="11"/>
  <c r="E72" i="11" s="1"/>
  <c r="F72" i="11" s="1"/>
  <c r="Z73" i="11"/>
  <c r="AB73" i="11" s="1"/>
  <c r="AC73" i="11" s="1"/>
  <c r="AD73" i="11" s="1"/>
  <c r="Z74" i="11"/>
  <c r="AB74" i="11" s="1"/>
  <c r="AC74" i="11" s="1"/>
  <c r="AE74" i="11" s="1"/>
  <c r="Z75" i="11"/>
  <c r="AB75" i="11" s="1"/>
  <c r="AC75" i="11" s="1"/>
  <c r="AD75" i="11" s="1"/>
  <c r="Z76" i="11"/>
  <c r="AB76" i="11" s="1"/>
  <c r="AC76" i="11" s="1"/>
  <c r="AD76" i="11" s="1"/>
  <c r="Z77" i="11"/>
  <c r="AB77" i="11" s="1"/>
  <c r="AC77" i="11" s="1"/>
  <c r="AE77" i="11" s="1"/>
  <c r="Z78" i="11"/>
  <c r="AB78" i="11" s="1"/>
  <c r="AC78" i="11" s="1"/>
  <c r="AE78" i="11" s="1"/>
  <c r="Z79" i="11"/>
  <c r="AB79" i="11" s="1"/>
  <c r="AC79" i="11" s="1"/>
  <c r="AD79" i="11" s="1"/>
  <c r="Z80" i="11"/>
  <c r="AB80" i="11" s="1"/>
  <c r="AC80" i="11" s="1"/>
  <c r="AD80" i="11" s="1"/>
  <c r="Z81" i="11"/>
  <c r="AB81" i="11" s="1"/>
  <c r="AC81" i="11" s="1"/>
  <c r="AD81" i="11" s="1"/>
  <c r="Z82" i="11"/>
  <c r="AB82" i="11" s="1"/>
  <c r="AC82" i="11" s="1"/>
  <c r="AE82" i="11" s="1"/>
  <c r="Z83" i="11"/>
  <c r="AB83" i="11" s="1"/>
  <c r="AC83" i="11" s="1"/>
  <c r="AD83" i="11" s="1"/>
  <c r="Z84" i="11"/>
  <c r="AB84" i="11" s="1"/>
  <c r="AC84" i="11" s="1"/>
  <c r="AD84" i="11" s="1"/>
  <c r="Z85" i="11"/>
  <c r="AB85" i="11" s="1"/>
  <c r="AC85" i="11" s="1"/>
  <c r="AE85" i="11" s="1"/>
  <c r="Z86" i="11"/>
  <c r="AB86" i="11" s="1"/>
  <c r="AC86" i="11" s="1"/>
  <c r="AE86" i="11" s="1"/>
  <c r="Z87" i="11"/>
  <c r="AB87" i="11" s="1"/>
  <c r="AC87" i="11" s="1"/>
  <c r="AD87" i="11" s="1"/>
  <c r="Z88" i="11"/>
  <c r="AB88" i="11" s="1"/>
  <c r="AC88" i="11" s="1"/>
  <c r="AD88" i="11" s="1"/>
  <c r="Z89" i="11"/>
  <c r="AB89" i="11" s="1"/>
  <c r="AC89" i="11" s="1"/>
  <c r="AD89" i="11" s="1"/>
  <c r="Z90" i="11"/>
  <c r="AB90" i="11" s="1"/>
  <c r="AC90" i="11" s="1"/>
  <c r="AE90" i="11" s="1"/>
  <c r="Z91" i="11"/>
  <c r="AB91" i="11" s="1"/>
  <c r="AC91" i="11" s="1"/>
  <c r="AE91" i="11" s="1"/>
  <c r="Z92" i="11"/>
  <c r="AB92" i="11" s="1"/>
  <c r="AC92" i="11" s="1"/>
  <c r="AD92" i="11" s="1"/>
  <c r="Z93" i="11"/>
  <c r="AB93" i="11" s="1"/>
  <c r="AC93" i="11" s="1"/>
  <c r="AD93" i="11" s="1"/>
  <c r="Z94" i="11"/>
  <c r="AB94" i="11" s="1"/>
  <c r="AC94" i="11" s="1"/>
  <c r="AE94" i="11" s="1"/>
  <c r="Z95" i="11"/>
  <c r="AB95" i="11" s="1"/>
  <c r="AC95" i="11" s="1"/>
  <c r="AD95" i="11" s="1"/>
  <c r="Z96" i="11"/>
  <c r="AB96" i="11" s="1"/>
  <c r="AC96" i="11" s="1"/>
  <c r="AD96" i="11" s="1"/>
  <c r="Z97" i="11"/>
  <c r="AB97" i="11" s="1"/>
  <c r="AC97" i="11" s="1"/>
  <c r="AE97" i="11" s="1"/>
  <c r="Z98" i="11"/>
  <c r="AB98" i="11" s="1"/>
  <c r="AC98" i="11" s="1"/>
  <c r="AE98" i="11" s="1"/>
  <c r="Z99" i="11"/>
  <c r="AB99" i="11" s="1"/>
  <c r="AC99" i="11" s="1"/>
  <c r="AD99" i="11" s="1"/>
  <c r="Z100" i="11"/>
  <c r="AB100" i="11" s="1"/>
  <c r="AC100" i="11" s="1"/>
  <c r="Z101" i="11"/>
  <c r="AB101" i="11" s="1"/>
  <c r="AC101" i="11" s="1"/>
  <c r="Z102" i="11"/>
  <c r="AB102" i="11" s="1"/>
  <c r="AC102" i="11" s="1"/>
  <c r="AE102" i="11" s="1"/>
  <c r="Z103" i="11"/>
  <c r="AB103" i="11" s="1"/>
  <c r="AC103" i="11" s="1"/>
  <c r="AD103" i="11" s="1"/>
  <c r="Z104" i="11"/>
  <c r="AB104" i="11" s="1"/>
  <c r="AC104" i="11" s="1"/>
  <c r="Z105" i="11"/>
  <c r="AB105" i="11" s="1"/>
  <c r="AC105" i="11" s="1"/>
  <c r="Z106" i="11"/>
  <c r="AB106" i="11" s="1"/>
  <c r="AC106" i="11" s="1"/>
  <c r="AE106" i="11" s="1"/>
  <c r="Z107" i="11"/>
  <c r="AB107" i="11" s="1"/>
  <c r="AC107" i="11" s="1"/>
  <c r="AD107" i="11" s="1"/>
  <c r="Z108" i="11"/>
  <c r="AB108" i="11" s="1"/>
  <c r="AC108" i="11" s="1"/>
  <c r="Z109" i="11"/>
  <c r="AB109" i="11" s="1"/>
  <c r="AC109" i="11" s="1"/>
  <c r="Z110" i="11"/>
  <c r="AB110" i="11" s="1"/>
  <c r="AC110" i="11" s="1"/>
  <c r="AE110" i="11" s="1"/>
  <c r="Z111" i="11"/>
  <c r="AB111" i="11" s="1"/>
  <c r="AC111" i="11" s="1"/>
  <c r="AD111" i="11" s="1"/>
  <c r="Z112" i="11"/>
  <c r="AB112" i="11" s="1"/>
  <c r="AC112" i="11" s="1"/>
  <c r="Z113" i="11"/>
  <c r="AB113" i="11" s="1"/>
  <c r="AC113" i="11" s="1"/>
  <c r="Z114" i="11"/>
  <c r="AB114" i="11" s="1"/>
  <c r="AC114" i="11" s="1"/>
  <c r="AE114" i="11" s="1"/>
  <c r="Z115" i="11"/>
  <c r="AB115" i="11" s="1"/>
  <c r="AC115" i="11" s="1"/>
  <c r="AD115" i="11" s="1"/>
  <c r="Z116" i="11"/>
  <c r="AB116" i="11" s="1"/>
  <c r="AC116" i="11" s="1"/>
  <c r="Z117" i="11"/>
  <c r="AB117" i="11" s="1"/>
  <c r="AC117" i="11" s="1"/>
  <c r="AD117" i="11" s="1"/>
  <c r="Z118" i="11"/>
  <c r="AB118" i="11" s="1"/>
  <c r="AC118" i="11" s="1"/>
  <c r="AD118" i="11" s="1"/>
  <c r="Z119" i="11"/>
  <c r="AB119" i="11" s="1"/>
  <c r="AC119" i="11" s="1"/>
  <c r="AD119" i="11" s="1"/>
  <c r="Z120" i="11"/>
  <c r="AB120" i="11" s="1"/>
  <c r="AC120" i="11" s="1"/>
  <c r="Z121" i="11"/>
  <c r="AB121" i="11" s="1"/>
  <c r="AC121" i="11" s="1"/>
  <c r="Z122" i="11"/>
  <c r="AB122" i="11" s="1"/>
  <c r="AC122" i="11" s="1"/>
  <c r="AD122" i="11" s="1"/>
  <c r="Z123" i="11"/>
  <c r="AB123" i="11" s="1"/>
  <c r="AC123" i="11" s="1"/>
  <c r="AD123" i="11" s="1"/>
  <c r="Z124" i="11"/>
  <c r="AB124" i="11" s="1"/>
  <c r="AC124" i="11" s="1"/>
  <c r="Z125" i="11"/>
  <c r="AB125" i="11" s="1"/>
  <c r="AC125" i="11" s="1"/>
  <c r="Z126" i="11"/>
  <c r="AB126" i="11" s="1"/>
  <c r="AC126" i="11" s="1"/>
  <c r="AD126" i="11" s="1"/>
  <c r="Z127" i="11"/>
  <c r="AB127" i="11" s="1"/>
  <c r="AC127" i="11" s="1"/>
  <c r="AD127" i="11" s="1"/>
  <c r="Z128" i="11"/>
  <c r="AB128" i="11" s="1"/>
  <c r="AC128" i="11" s="1"/>
  <c r="Z129" i="11"/>
  <c r="AB129" i="11" s="1"/>
  <c r="AC129" i="11" s="1"/>
  <c r="Z130" i="11"/>
  <c r="AB130" i="11" s="1"/>
  <c r="AC130" i="11" s="1"/>
  <c r="AD130" i="11" s="1"/>
  <c r="Z131" i="11"/>
  <c r="AB131" i="11" s="1"/>
  <c r="AC131" i="11" s="1"/>
  <c r="AD131" i="11" s="1"/>
  <c r="Z72" i="11"/>
  <c r="AB72" i="11" s="1"/>
  <c r="AC72" i="11" s="1"/>
  <c r="AD72" i="11" s="1"/>
  <c r="E98" i="11"/>
  <c r="F98" i="11" s="1"/>
  <c r="H98" i="11" s="1"/>
  <c r="E111" i="11"/>
  <c r="F111" i="11" s="1"/>
  <c r="E115" i="11"/>
  <c r="F115" i="11" s="1"/>
  <c r="E116" i="11"/>
  <c r="F116" i="11" s="1"/>
  <c r="E119" i="11"/>
  <c r="F119" i="11" s="1"/>
  <c r="E120" i="11"/>
  <c r="F120" i="11" s="1"/>
  <c r="E121" i="11"/>
  <c r="F121" i="11" s="1"/>
  <c r="E123" i="11"/>
  <c r="F123" i="11" s="1"/>
  <c r="E127" i="11"/>
  <c r="F127" i="11" s="1"/>
  <c r="E129" i="11"/>
  <c r="F129" i="11" s="1"/>
  <c r="E134" i="11"/>
  <c r="F134" i="11" s="1"/>
  <c r="E75" i="11"/>
  <c r="F75" i="11" s="1"/>
  <c r="E79" i="11"/>
  <c r="F79" i="11" s="1"/>
  <c r="E83" i="11"/>
  <c r="F83" i="11" s="1"/>
  <c r="E87" i="11"/>
  <c r="F87" i="11" s="1"/>
  <c r="E91" i="11"/>
  <c r="F91" i="11" s="1"/>
  <c r="E95" i="11"/>
  <c r="F95" i="11" s="1"/>
  <c r="E99" i="11"/>
  <c r="F99" i="11" s="1"/>
  <c r="E103" i="11"/>
  <c r="F103" i="11" s="1"/>
  <c r="E109" i="11"/>
  <c r="F109" i="11" s="1"/>
  <c r="AD94" i="11" l="1"/>
  <c r="AD114" i="11"/>
  <c r="AD97" i="11"/>
  <c r="AE81" i="11"/>
  <c r="AE79" i="11"/>
  <c r="AE107" i="11"/>
  <c r="AD82" i="11"/>
  <c r="AD98" i="11"/>
  <c r="AD85" i="11"/>
  <c r="AE118" i="11"/>
  <c r="AE126" i="11"/>
  <c r="AE87" i="11"/>
  <c r="AE123" i="11"/>
  <c r="AE73" i="11"/>
  <c r="AE89" i="11"/>
  <c r="AD74" i="11"/>
  <c r="AD90" i="11"/>
  <c r="AD77" i="11"/>
  <c r="AD91" i="11"/>
  <c r="AE122" i="11"/>
  <c r="AE130" i="11"/>
  <c r="AD124" i="11"/>
  <c r="AE124" i="11"/>
  <c r="AD116" i="11"/>
  <c r="AE116" i="11"/>
  <c r="AD108" i="11"/>
  <c r="AE108" i="11"/>
  <c r="AD100" i="11"/>
  <c r="AE100" i="11"/>
  <c r="AE72" i="11"/>
  <c r="AE111" i="11"/>
  <c r="AE127" i="11"/>
  <c r="AE76" i="11"/>
  <c r="AE80" i="11"/>
  <c r="AE84" i="11"/>
  <c r="AE88" i="11"/>
  <c r="AE92" i="11"/>
  <c r="AE96" i="11"/>
  <c r="AE95" i="11"/>
  <c r="G98" i="11"/>
  <c r="AE75" i="11"/>
  <c r="AE83" i="11"/>
  <c r="AE93" i="11"/>
  <c r="AE99" i="11"/>
  <c r="AE115" i="11"/>
  <c r="AE131" i="11"/>
  <c r="AD128" i="11"/>
  <c r="AE128" i="11"/>
  <c r="AD120" i="11"/>
  <c r="AE120" i="11"/>
  <c r="AD112" i="11"/>
  <c r="AE112" i="11"/>
  <c r="AD104" i="11"/>
  <c r="AE104" i="11"/>
  <c r="G114" i="11"/>
  <c r="AD129" i="11"/>
  <c r="AE129" i="11"/>
  <c r="AD125" i="11"/>
  <c r="AE125" i="11"/>
  <c r="AE121" i="11"/>
  <c r="AD121" i="11"/>
  <c r="AD113" i="11"/>
  <c r="AE113" i="11"/>
  <c r="AD109" i="11"/>
  <c r="AE109" i="11"/>
  <c r="AD105" i="11"/>
  <c r="AE105" i="11"/>
  <c r="AD101" i="11"/>
  <c r="AE101" i="11"/>
  <c r="AE103" i="11"/>
  <c r="AE119" i="11"/>
  <c r="AE117" i="11"/>
  <c r="G122" i="11"/>
  <c r="G106" i="11"/>
  <c r="G130" i="11"/>
  <c r="H110" i="11"/>
  <c r="G110" i="11"/>
  <c r="H102" i="11"/>
  <c r="G102" i="11"/>
  <c r="H134" i="11"/>
  <c r="G134" i="11"/>
  <c r="H126" i="11"/>
  <c r="G126" i="11"/>
  <c r="H118" i="11"/>
  <c r="G118" i="11"/>
  <c r="H133" i="11"/>
  <c r="G133" i="11"/>
  <c r="H129" i="11"/>
  <c r="G129" i="11"/>
  <c r="H121" i="11"/>
  <c r="G121" i="11"/>
  <c r="H117" i="11"/>
  <c r="G117" i="11"/>
  <c r="H109" i="11"/>
  <c r="G109" i="11"/>
  <c r="H105" i="11"/>
  <c r="G105" i="11"/>
  <c r="H101" i="11"/>
  <c r="G101" i="11"/>
  <c r="H97" i="11"/>
  <c r="G97" i="11"/>
  <c r="H128" i="11"/>
  <c r="G128" i="11"/>
  <c r="H124" i="11"/>
  <c r="G124" i="11"/>
  <c r="H120" i="11"/>
  <c r="G120" i="11"/>
  <c r="H116" i="11"/>
  <c r="G116" i="11"/>
  <c r="H112" i="11"/>
  <c r="G112" i="11"/>
  <c r="H108" i="11"/>
  <c r="G108" i="11"/>
  <c r="H104" i="11"/>
  <c r="G104" i="11"/>
  <c r="H100" i="11"/>
  <c r="G100" i="11"/>
  <c r="H96" i="11"/>
  <c r="G96" i="11"/>
  <c r="H131" i="11"/>
  <c r="G131" i="11"/>
  <c r="H127" i="11"/>
  <c r="G127" i="11"/>
  <c r="H123" i="11"/>
  <c r="G123" i="11"/>
  <c r="H119" i="11"/>
  <c r="G119" i="11"/>
  <c r="H115" i="11"/>
  <c r="G115" i="11"/>
  <c r="H111" i="11"/>
  <c r="G111" i="11"/>
  <c r="H107" i="11"/>
  <c r="G107" i="11"/>
  <c r="H103" i="11"/>
  <c r="G103" i="11"/>
  <c r="H99" i="11"/>
  <c r="G99" i="11"/>
  <c r="H125" i="11"/>
  <c r="G125" i="11"/>
  <c r="H113" i="11"/>
  <c r="G113" i="11"/>
  <c r="H132" i="11"/>
  <c r="G132" i="11"/>
  <c r="G95" i="11"/>
  <c r="H95" i="11"/>
  <c r="G87" i="11"/>
  <c r="H87" i="11"/>
  <c r="G83" i="11"/>
  <c r="H83" i="11"/>
  <c r="G75" i="11"/>
  <c r="H75" i="11"/>
  <c r="G93" i="11"/>
  <c r="H93" i="11"/>
  <c r="G89" i="11"/>
  <c r="H89" i="11"/>
  <c r="G85" i="11"/>
  <c r="H85" i="11"/>
  <c r="G81" i="11"/>
  <c r="H81" i="11"/>
  <c r="G77" i="11"/>
  <c r="H77" i="11"/>
  <c r="G73" i="11"/>
  <c r="H73" i="11"/>
  <c r="G92" i="11"/>
  <c r="H92" i="11"/>
  <c r="G88" i="11"/>
  <c r="H88" i="11"/>
  <c r="G84" i="11"/>
  <c r="H84" i="11"/>
  <c r="G80" i="11"/>
  <c r="H80" i="11"/>
  <c r="G76" i="11"/>
  <c r="H76" i="11"/>
  <c r="G91" i="11"/>
  <c r="H91" i="11"/>
  <c r="G79" i="11"/>
  <c r="H79" i="11"/>
  <c r="G94" i="11"/>
  <c r="H94" i="11"/>
  <c r="G90" i="11"/>
  <c r="H90" i="11"/>
  <c r="G86" i="11"/>
  <c r="H86" i="11"/>
  <c r="G82" i="11"/>
  <c r="H82" i="11"/>
  <c r="G78" i="11"/>
  <c r="H78" i="11"/>
  <c r="G74" i="11"/>
  <c r="H74" i="11"/>
  <c r="G72" i="11"/>
  <c r="H72" i="11"/>
  <c r="E53" i="11"/>
  <c r="F53" i="11" s="1"/>
  <c r="G53" i="11" s="1"/>
  <c r="E54" i="11"/>
  <c r="F54" i="11" s="1"/>
  <c r="H54" i="11" s="1"/>
  <c r="E55" i="11"/>
  <c r="F55" i="11" s="1"/>
  <c r="E56" i="11"/>
  <c r="E57" i="11"/>
  <c r="E58" i="11"/>
  <c r="F58" i="11" s="1"/>
  <c r="E59" i="11"/>
  <c r="F59" i="11" s="1"/>
  <c r="E60" i="11"/>
  <c r="F60" i="11" s="1"/>
  <c r="G60" i="11" s="1"/>
  <c r="E61" i="11"/>
  <c r="F61" i="11" s="1"/>
  <c r="G61" i="11" s="1"/>
  <c r="E62" i="11"/>
  <c r="F62" i="11" s="1"/>
  <c r="O20" i="11"/>
  <c r="F56" i="11"/>
  <c r="G56" i="11" s="1"/>
  <c r="F57" i="11"/>
  <c r="G57" i="11" s="1"/>
  <c r="T12" i="11"/>
  <c r="C42" i="11"/>
  <c r="E42" i="11" s="1"/>
  <c r="F42" i="11" s="1"/>
  <c r="C43" i="11"/>
  <c r="E43" i="11" s="1"/>
  <c r="F43" i="11" s="1"/>
  <c r="C44" i="11"/>
  <c r="E44" i="11" s="1"/>
  <c r="F44" i="11" s="1"/>
  <c r="C45" i="11"/>
  <c r="E45" i="11" s="1"/>
  <c r="F45" i="11" s="1"/>
  <c r="G45" i="11" s="1"/>
  <c r="C46" i="11"/>
  <c r="E46" i="11" s="1"/>
  <c r="F46" i="11" s="1"/>
  <c r="C47" i="11"/>
  <c r="E47" i="11" s="1"/>
  <c r="F47" i="11" s="1"/>
  <c r="G47" i="11" s="1"/>
  <c r="C48" i="11"/>
  <c r="E48" i="11" s="1"/>
  <c r="F48" i="11" s="1"/>
  <c r="C49" i="11"/>
  <c r="E49" i="11" s="1"/>
  <c r="F49" i="11" s="1"/>
  <c r="G49" i="11" s="1"/>
  <c r="C50" i="11"/>
  <c r="E50" i="11" s="1"/>
  <c r="F50" i="11" s="1"/>
  <c r="C51" i="11"/>
  <c r="E51" i="11" s="1"/>
  <c r="F51" i="11" s="1"/>
  <c r="C52" i="11"/>
  <c r="E52" i="11" s="1"/>
  <c r="F52" i="11" s="1"/>
  <c r="G52" i="11" s="1"/>
  <c r="C63" i="11"/>
  <c r="E63" i="11" s="1"/>
  <c r="F63" i="11" s="1"/>
  <c r="G63" i="11" s="1"/>
  <c r="C64" i="11"/>
  <c r="E64" i="11" s="1"/>
  <c r="F64" i="11" s="1"/>
  <c r="C65" i="11"/>
  <c r="E65" i="11" s="1"/>
  <c r="F65" i="11" s="1"/>
  <c r="G65" i="11" s="1"/>
  <c r="C66" i="11"/>
  <c r="E66" i="11" s="1"/>
  <c r="C4" i="11"/>
  <c r="E4" i="11" s="1"/>
  <c r="F4" i="11" s="1"/>
  <c r="C5" i="11"/>
  <c r="E5" i="11" s="1"/>
  <c r="F5" i="11" s="1"/>
  <c r="G5" i="11" s="1"/>
  <c r="C6" i="11"/>
  <c r="E6" i="11" s="1"/>
  <c r="F6" i="11" s="1"/>
  <c r="H6" i="11" s="1"/>
  <c r="C7" i="11"/>
  <c r="E7" i="11" s="1"/>
  <c r="F7" i="11" s="1"/>
  <c r="C8" i="11"/>
  <c r="E8" i="11" s="1"/>
  <c r="F8" i="11" s="1"/>
  <c r="C9" i="11"/>
  <c r="E9" i="11" s="1"/>
  <c r="F9" i="11" s="1"/>
  <c r="G9" i="11" s="1"/>
  <c r="C10" i="11"/>
  <c r="E10" i="11" s="1"/>
  <c r="F10" i="11" s="1"/>
  <c r="C11" i="11"/>
  <c r="E11" i="11" s="1"/>
  <c r="F11" i="11" s="1"/>
  <c r="C12" i="11"/>
  <c r="E12" i="11" s="1"/>
  <c r="F12" i="11" s="1"/>
  <c r="C13" i="11"/>
  <c r="E13" i="11" s="1"/>
  <c r="F13" i="11" s="1"/>
  <c r="G13" i="11" s="1"/>
  <c r="C14" i="11"/>
  <c r="E14" i="11" s="1"/>
  <c r="F14" i="11" s="1"/>
  <c r="C15" i="11"/>
  <c r="E15" i="11" s="1"/>
  <c r="F15" i="11" s="1"/>
  <c r="G15" i="11" s="1"/>
  <c r="C16" i="11"/>
  <c r="E16" i="11" s="1"/>
  <c r="F16" i="11" s="1"/>
  <c r="C17" i="11"/>
  <c r="E17" i="11" s="1"/>
  <c r="F17" i="11" s="1"/>
  <c r="G17" i="11" s="1"/>
  <c r="C18" i="11"/>
  <c r="E18" i="11" s="1"/>
  <c r="F18" i="11" s="1"/>
  <c r="C19" i="11"/>
  <c r="E19" i="11" s="1"/>
  <c r="F19" i="11" s="1"/>
  <c r="C20" i="11"/>
  <c r="E20" i="11" s="1"/>
  <c r="F20" i="11" s="1"/>
  <c r="H20" i="11" s="1"/>
  <c r="C21" i="11"/>
  <c r="E21" i="11" s="1"/>
  <c r="F21" i="11" s="1"/>
  <c r="G21" i="11" s="1"/>
  <c r="C22" i="11"/>
  <c r="E22" i="11" s="1"/>
  <c r="F22" i="11" s="1"/>
  <c r="H22" i="11" s="1"/>
  <c r="C23" i="11"/>
  <c r="E23" i="11" s="1"/>
  <c r="F23" i="11" s="1"/>
  <c r="C24" i="11"/>
  <c r="E24" i="11" s="1"/>
  <c r="F24" i="11" s="1"/>
  <c r="C25" i="11"/>
  <c r="E25" i="11" s="1"/>
  <c r="F25" i="11" s="1"/>
  <c r="G25" i="11" s="1"/>
  <c r="C26" i="11"/>
  <c r="E26" i="11" s="1"/>
  <c r="F26" i="11" s="1"/>
  <c r="C27" i="11"/>
  <c r="E27" i="11" s="1"/>
  <c r="F27" i="11" s="1"/>
  <c r="C28" i="11"/>
  <c r="E28" i="11" s="1"/>
  <c r="F28" i="11" s="1"/>
  <c r="C29" i="11"/>
  <c r="E29" i="11" s="1"/>
  <c r="F29" i="11" s="1"/>
  <c r="G29" i="11" s="1"/>
  <c r="C30" i="11"/>
  <c r="E30" i="11" s="1"/>
  <c r="F30" i="11" s="1"/>
  <c r="C31" i="11"/>
  <c r="E31" i="11" s="1"/>
  <c r="F31" i="11" s="1"/>
  <c r="G31" i="11" s="1"/>
  <c r="C32" i="11"/>
  <c r="E32" i="11" s="1"/>
  <c r="F32" i="11" s="1"/>
  <c r="C33" i="11"/>
  <c r="E33" i="11" s="1"/>
  <c r="F33" i="11" s="1"/>
  <c r="G33" i="11" s="1"/>
  <c r="C34" i="11"/>
  <c r="E34" i="11" s="1"/>
  <c r="F34" i="11" s="1"/>
  <c r="C35" i="11"/>
  <c r="E35" i="11" s="1"/>
  <c r="F35" i="11" s="1"/>
  <c r="C36" i="11"/>
  <c r="E36" i="11" s="1"/>
  <c r="F36" i="11" s="1"/>
  <c r="G36" i="11" s="1"/>
  <c r="C37" i="11"/>
  <c r="E37" i="11" s="1"/>
  <c r="F37" i="11" s="1"/>
  <c r="G37" i="11" s="1"/>
  <c r="C38" i="11"/>
  <c r="E38" i="11" s="1"/>
  <c r="F38" i="11" s="1"/>
  <c r="H38" i="11" s="1"/>
  <c r="C39" i="11"/>
  <c r="E39" i="11" s="1"/>
  <c r="F39" i="11" s="1"/>
  <c r="C40" i="11"/>
  <c r="E40" i="11" s="1"/>
  <c r="F40" i="11" s="1"/>
  <c r="C41" i="11"/>
  <c r="E41" i="11" s="1"/>
  <c r="F41" i="11" s="1"/>
  <c r="G41" i="11" s="1"/>
  <c r="C3" i="11"/>
  <c r="E3" i="11" s="1"/>
  <c r="F3" i="11" s="1"/>
  <c r="H3" i="11" s="1"/>
  <c r="H34" i="11" l="1"/>
  <c r="G34" i="11"/>
  <c r="H18" i="11"/>
  <c r="G18" i="11"/>
  <c r="H50" i="11"/>
  <c r="G50" i="11"/>
  <c r="H48" i="11"/>
  <c r="G48" i="11"/>
  <c r="G44" i="11"/>
  <c r="H44" i="11"/>
  <c r="H64" i="11"/>
  <c r="G64" i="11"/>
  <c r="G40" i="11"/>
  <c r="H40" i="11"/>
  <c r="H32" i="11"/>
  <c r="G32" i="11"/>
  <c r="G28" i="11"/>
  <c r="H28" i="11"/>
  <c r="G24" i="11"/>
  <c r="H24" i="11"/>
  <c r="H16" i="11"/>
  <c r="G16" i="11"/>
  <c r="G12" i="11"/>
  <c r="H12" i="11"/>
  <c r="G8" i="11"/>
  <c r="H8" i="11"/>
  <c r="H60" i="11"/>
  <c r="H56" i="11"/>
  <c r="G59" i="11"/>
  <c r="H59" i="11"/>
  <c r="G55" i="11"/>
  <c r="H55" i="11"/>
  <c r="H51" i="11"/>
  <c r="G51" i="11"/>
  <c r="H43" i="11"/>
  <c r="G43" i="11"/>
  <c r="G39" i="11"/>
  <c r="H39" i="11"/>
  <c r="G35" i="11"/>
  <c r="H35" i="11"/>
  <c r="G27" i="11"/>
  <c r="H27" i="11"/>
  <c r="G23" i="11"/>
  <c r="H23" i="11"/>
  <c r="G19" i="11"/>
  <c r="H19" i="11"/>
  <c r="H11" i="11"/>
  <c r="G11" i="11"/>
  <c r="H7" i="11"/>
  <c r="G7" i="11"/>
  <c r="H62" i="11"/>
  <c r="G62" i="11"/>
  <c r="H58" i="11"/>
  <c r="G58" i="11"/>
  <c r="H46" i="11"/>
  <c r="G46" i="11"/>
  <c r="H42" i="11"/>
  <c r="G42" i="11"/>
  <c r="H30" i="11"/>
  <c r="G30" i="11"/>
  <c r="H26" i="11"/>
  <c r="G26" i="11"/>
  <c r="H14" i="11"/>
  <c r="G14" i="11"/>
  <c r="H10" i="11"/>
  <c r="G10" i="11"/>
  <c r="H63" i="11"/>
  <c r="H52" i="11"/>
  <c r="H47" i="11"/>
  <c r="H36" i="11"/>
  <c r="H31" i="11"/>
  <c r="H15" i="11"/>
  <c r="G54" i="11"/>
  <c r="G38" i="11"/>
  <c r="G22" i="11"/>
  <c r="G20" i="11"/>
  <c r="G6" i="11"/>
  <c r="G4" i="11"/>
  <c r="H4" i="11"/>
  <c r="G3" i="11"/>
  <c r="H65" i="11"/>
  <c r="H61" i="11"/>
  <c r="H57" i="11"/>
  <c r="H53" i="11"/>
  <c r="H49" i="11"/>
  <c r="H45" i="11"/>
  <c r="H41" i="11"/>
  <c r="H37" i="11"/>
  <c r="H33" i="11"/>
  <c r="H29" i="11"/>
  <c r="H25" i="11"/>
  <c r="H21" i="11"/>
  <c r="H17" i="11"/>
  <c r="H13" i="11"/>
  <c r="H9" i="11"/>
  <c r="H5" i="11"/>
  <c r="P3" i="7"/>
  <c r="V3" i="7" s="1"/>
  <c r="X3" i="7" s="1"/>
  <c r="P4" i="7"/>
  <c r="V4" i="7" s="1"/>
  <c r="X4" i="7" s="1"/>
  <c r="P5" i="7"/>
  <c r="V5" i="7" s="1"/>
  <c r="W5" i="7" s="1"/>
  <c r="P6" i="7"/>
  <c r="V6" i="7" s="1"/>
  <c r="W6" i="7" s="1"/>
  <c r="P7" i="7"/>
  <c r="V7" i="7" s="1"/>
  <c r="X7" i="7" s="1"/>
  <c r="P8" i="7"/>
  <c r="V8" i="7" s="1"/>
  <c r="X8" i="7" s="1"/>
  <c r="P9" i="7"/>
  <c r="V9" i="7" s="1"/>
  <c r="X9" i="7" s="1"/>
  <c r="P10" i="7"/>
  <c r="V10" i="7" s="1"/>
  <c r="X10" i="7" s="1"/>
  <c r="P11" i="7"/>
  <c r="V11" i="7" s="1"/>
  <c r="X11" i="7" s="1"/>
  <c r="P12" i="7"/>
  <c r="V12" i="7" s="1"/>
  <c r="X12" i="7" s="1"/>
  <c r="P13" i="7"/>
  <c r="V13" i="7" s="1"/>
  <c r="W13" i="7" s="1"/>
  <c r="P14" i="7"/>
  <c r="V14" i="7" s="1"/>
  <c r="W14" i="7" s="1"/>
  <c r="P15" i="7"/>
  <c r="V15" i="7" s="1"/>
  <c r="X15" i="7" s="1"/>
  <c r="P16" i="7"/>
  <c r="V16" i="7" s="1"/>
  <c r="X16" i="7" s="1"/>
  <c r="P17" i="7"/>
  <c r="V17" i="7" s="1"/>
  <c r="X17" i="7" s="1"/>
  <c r="P18" i="7"/>
  <c r="V18" i="7" s="1"/>
  <c r="X18" i="7" s="1"/>
  <c r="P19" i="7"/>
  <c r="V19" i="7" s="1"/>
  <c r="X19" i="7" s="1"/>
  <c r="P20" i="7"/>
  <c r="V20" i="7" s="1"/>
  <c r="X20" i="7" s="1"/>
  <c r="P21" i="7"/>
  <c r="V21" i="7" s="1"/>
  <c r="W21" i="7" s="1"/>
  <c r="P22" i="7"/>
  <c r="V22" i="7" s="1"/>
  <c r="W22" i="7" s="1"/>
  <c r="P23" i="7"/>
  <c r="V23" i="7" s="1"/>
  <c r="X23" i="7" s="1"/>
  <c r="P24" i="7"/>
  <c r="V24" i="7" s="1"/>
  <c r="X24" i="7" s="1"/>
  <c r="P25" i="7"/>
  <c r="V25" i="7" s="1"/>
  <c r="X25" i="7" s="1"/>
  <c r="P26" i="7"/>
  <c r="V26" i="7" s="1"/>
  <c r="X26" i="7" s="1"/>
  <c r="P27" i="7"/>
  <c r="V27" i="7" s="1"/>
  <c r="X27" i="7" s="1"/>
  <c r="P28" i="7"/>
  <c r="V28" i="7" s="1"/>
  <c r="X28" i="7" s="1"/>
  <c r="P29" i="7"/>
  <c r="V29" i="7" s="1"/>
  <c r="X29" i="7" s="1"/>
  <c r="P30" i="7"/>
  <c r="V30" i="7" s="1"/>
  <c r="W30" i="7" s="1"/>
  <c r="P31" i="7"/>
  <c r="V31" i="7" s="1"/>
  <c r="X31" i="7" s="1"/>
  <c r="P32" i="7"/>
  <c r="V32" i="7" s="1"/>
  <c r="X32" i="7" s="1"/>
  <c r="P33" i="7"/>
  <c r="V33" i="7" s="1"/>
  <c r="X33" i="7" s="1"/>
  <c r="P34" i="7"/>
  <c r="V34" i="7" s="1"/>
  <c r="X34" i="7" s="1"/>
  <c r="P35" i="7"/>
  <c r="V35" i="7" s="1"/>
  <c r="X35" i="7" s="1"/>
  <c r="P36" i="7"/>
  <c r="V36" i="7" s="1"/>
  <c r="X36" i="7" s="1"/>
  <c r="P37" i="7"/>
  <c r="V37" i="7" s="1"/>
  <c r="X37" i="7" s="1"/>
  <c r="P38" i="7"/>
  <c r="V38" i="7" s="1"/>
  <c r="W38" i="7" s="1"/>
  <c r="P39" i="7"/>
  <c r="V39" i="7" s="1"/>
  <c r="X39" i="7" s="1"/>
  <c r="P40" i="7"/>
  <c r="V40" i="7" s="1"/>
  <c r="X40" i="7" s="1"/>
  <c r="P41" i="7"/>
  <c r="V41" i="7" s="1"/>
  <c r="X41" i="7" s="1"/>
  <c r="P42" i="7"/>
  <c r="V42" i="7" s="1"/>
  <c r="X42" i="7" s="1"/>
  <c r="P43" i="7"/>
  <c r="V43" i="7" s="1"/>
  <c r="X43" i="7" s="1"/>
  <c r="P44" i="7"/>
  <c r="V44" i="7" s="1"/>
  <c r="X44" i="7" s="1"/>
  <c r="P45" i="7"/>
  <c r="V45" i="7" s="1"/>
  <c r="X45" i="7" s="1"/>
  <c r="P46" i="7"/>
  <c r="V46" i="7" s="1"/>
  <c r="W46" i="7" s="1"/>
  <c r="P47" i="7"/>
  <c r="V47" i="7" s="1"/>
  <c r="X47" i="7" s="1"/>
  <c r="P48" i="7"/>
  <c r="V48" i="7" s="1"/>
  <c r="X48" i="7" s="1"/>
  <c r="P49" i="7"/>
  <c r="V49" i="7" s="1"/>
  <c r="X49" i="7" s="1"/>
  <c r="P50" i="7"/>
  <c r="V50" i="7" s="1"/>
  <c r="X50" i="7" s="1"/>
  <c r="P51" i="7"/>
  <c r="V51" i="7" s="1"/>
  <c r="X51" i="7" s="1"/>
  <c r="P52" i="7"/>
  <c r="V52" i="7" s="1"/>
  <c r="X52" i="7" s="1"/>
  <c r="P53" i="7"/>
  <c r="V53" i="7" s="1"/>
  <c r="X53" i="7" s="1"/>
  <c r="P54" i="7"/>
  <c r="V54" i="7" s="1"/>
  <c r="W54" i="7" s="1"/>
  <c r="P55" i="7"/>
  <c r="V55" i="7" s="1"/>
  <c r="X55" i="7" s="1"/>
  <c r="P56" i="7"/>
  <c r="V56" i="7" s="1"/>
  <c r="X56" i="7" s="1"/>
  <c r="P57" i="7"/>
  <c r="V57" i="7" s="1"/>
  <c r="X57" i="7" s="1"/>
  <c r="P58" i="7"/>
  <c r="V58" i="7" s="1"/>
  <c r="X58" i="7" s="1"/>
  <c r="P59" i="7"/>
  <c r="V59" i="7" s="1"/>
  <c r="X59" i="7" s="1"/>
  <c r="P60" i="7"/>
  <c r="V60" i="7" s="1"/>
  <c r="X60" i="7" s="1"/>
  <c r="P61" i="7"/>
  <c r="V61" i="7" s="1"/>
  <c r="W61" i="7" s="1"/>
  <c r="P2" i="7"/>
  <c r="V2" i="7" s="1"/>
  <c r="W2" i="7" s="1"/>
  <c r="W58" i="7" l="1"/>
  <c r="W50" i="7"/>
  <c r="W42" i="7"/>
  <c r="W34" i="7"/>
  <c r="W26" i="7"/>
  <c r="W18" i="7"/>
  <c r="X2" i="7"/>
  <c r="X54" i="7"/>
  <c r="X46" i="7"/>
  <c r="X38" i="7"/>
  <c r="X30" i="7"/>
  <c r="X22" i="7"/>
  <c r="X14" i="7"/>
  <c r="X6" i="7"/>
  <c r="W57" i="7"/>
  <c r="W49" i="7"/>
  <c r="W41" i="7"/>
  <c r="W33" i="7"/>
  <c r="W25" i="7"/>
  <c r="W17" i="7"/>
  <c r="W9" i="7"/>
  <c r="X61" i="7"/>
  <c r="X21" i="7"/>
  <c r="X13" i="7"/>
  <c r="X5" i="7"/>
  <c r="W60" i="7"/>
  <c r="W56" i="7"/>
  <c r="W52" i="7"/>
  <c r="W48" i="7"/>
  <c r="W44" i="7"/>
  <c r="W40" i="7"/>
  <c r="W36" i="7"/>
  <c r="W32" i="7"/>
  <c r="W28" i="7"/>
  <c r="W24" i="7"/>
  <c r="W20" i="7"/>
  <c r="W16" i="7"/>
  <c r="W12" i="7"/>
  <c r="W8" i="7"/>
  <c r="W4" i="7"/>
  <c r="W10" i="7"/>
  <c r="W53" i="7"/>
  <c r="W45" i="7"/>
  <c r="W37" i="7"/>
  <c r="W29" i="7"/>
  <c r="W59" i="7"/>
  <c r="W55" i="7"/>
  <c r="W51" i="7"/>
  <c r="W47" i="7"/>
  <c r="W43" i="7"/>
  <c r="W39" i="7"/>
  <c r="W35" i="7"/>
  <c r="W31" i="7"/>
  <c r="W27" i="7"/>
  <c r="W23" i="7"/>
  <c r="W19" i="7"/>
  <c r="W15" i="7"/>
  <c r="W11" i="7"/>
  <c r="W7" i="7"/>
  <c r="W3" i="7"/>
  <c r="J60" i="5"/>
  <c r="J59" i="5"/>
  <c r="J52" i="5"/>
  <c r="D139" i="9" l="1"/>
  <c r="D143" i="9"/>
  <c r="C136" i="9"/>
  <c r="D136" i="9" s="1"/>
  <c r="C137" i="9"/>
  <c r="D137" i="9" s="1"/>
  <c r="C138" i="9"/>
  <c r="D138" i="9" s="1"/>
  <c r="C139" i="9"/>
  <c r="C140" i="9"/>
  <c r="D140" i="9" s="1"/>
  <c r="C141" i="9"/>
  <c r="D141" i="9" s="1"/>
  <c r="C142" i="9"/>
  <c r="D142" i="9" s="1"/>
  <c r="C143" i="9"/>
  <c r="C135" i="9"/>
  <c r="D135" i="9" s="1"/>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71" i="9"/>
  <c r="R43" i="9"/>
  <c r="R44" i="9"/>
  <c r="R45" i="9"/>
  <c r="R46" i="9"/>
  <c r="R47" i="9"/>
  <c r="R48" i="9"/>
  <c r="R49" i="9"/>
  <c r="R50" i="9"/>
  <c r="R51" i="9"/>
  <c r="R52" i="9"/>
  <c r="R53" i="9"/>
  <c r="R54" i="9"/>
  <c r="R55" i="9"/>
  <c r="R56" i="9"/>
  <c r="R57" i="9"/>
  <c r="R58" i="9"/>
  <c r="R59" i="9"/>
  <c r="R60" i="9"/>
  <c r="R61" i="9"/>
  <c r="R62" i="9"/>
  <c r="R63" i="9"/>
  <c r="R64"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71"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 i="9"/>
  <c r="C43" i="9"/>
  <c r="C44" i="9"/>
  <c r="C45" i="9"/>
  <c r="C46" i="9"/>
  <c r="C47" i="9"/>
  <c r="C48" i="9"/>
  <c r="C49" i="9"/>
  <c r="C50" i="9"/>
  <c r="C51" i="9"/>
  <c r="C52" i="9"/>
  <c r="C53" i="9"/>
  <c r="C54" i="9"/>
  <c r="C55" i="9"/>
  <c r="C56" i="9"/>
  <c r="C57" i="9"/>
  <c r="C58" i="9"/>
  <c r="C59" i="9"/>
  <c r="C60" i="9"/>
  <c r="C61" i="9"/>
  <c r="C62" i="9"/>
  <c r="C63" i="9"/>
  <c r="C6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 i="9"/>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2" i="5"/>
  <c r="E6" i="9" l="1"/>
  <c r="E10" i="9"/>
  <c r="E14" i="9"/>
  <c r="E18" i="9"/>
  <c r="E22" i="9"/>
  <c r="E26" i="9"/>
  <c r="E30" i="9"/>
  <c r="E34" i="9"/>
  <c r="E38" i="9"/>
  <c r="E42" i="9"/>
  <c r="E46" i="9"/>
  <c r="E50" i="9"/>
  <c r="E54" i="9"/>
  <c r="E58" i="9"/>
  <c r="E62" i="9"/>
  <c r="E7" i="9"/>
  <c r="E11" i="9"/>
  <c r="E15" i="9"/>
  <c r="E19" i="9"/>
  <c r="E23" i="9"/>
  <c r="E27" i="9"/>
  <c r="E31" i="9"/>
  <c r="E35" i="9"/>
  <c r="E39" i="9"/>
  <c r="E43" i="9"/>
  <c r="E47" i="9"/>
  <c r="E51" i="9"/>
  <c r="E55" i="9"/>
  <c r="E59" i="9"/>
  <c r="E63" i="9"/>
  <c r="E8" i="9"/>
  <c r="E12" i="9"/>
  <c r="E16" i="9"/>
  <c r="E20" i="9"/>
  <c r="E24" i="9"/>
  <c r="E28" i="9"/>
  <c r="E32" i="9"/>
  <c r="E36" i="9"/>
  <c r="E40" i="9"/>
  <c r="E44" i="9"/>
  <c r="E48" i="9"/>
  <c r="E52" i="9"/>
  <c r="E56" i="9"/>
  <c r="E60" i="9"/>
  <c r="E4" i="9"/>
  <c r="E9" i="9"/>
  <c r="E13" i="9"/>
  <c r="E17" i="9"/>
  <c r="E21" i="9"/>
  <c r="E25" i="9"/>
  <c r="E33" i="9"/>
  <c r="E37" i="9"/>
  <c r="E45" i="9"/>
  <c r="E49" i="9"/>
  <c r="E57" i="9"/>
  <c r="E61" i="9"/>
  <c r="E5" i="9"/>
  <c r="E29" i="9"/>
  <c r="E41" i="9"/>
  <c r="E53" i="9"/>
  <c r="I24" i="3"/>
  <c r="I25" i="3"/>
  <c r="I26" i="3"/>
  <c r="I23" i="3"/>
  <c r="G24" i="3"/>
  <c r="G25" i="3"/>
  <c r="K25" i="3" s="1"/>
  <c r="G26" i="3"/>
  <c r="G23" i="3"/>
  <c r="K26" i="3"/>
  <c r="R13" i="3"/>
  <c r="R12" i="3"/>
  <c r="R11" i="3"/>
  <c r="G22" i="3"/>
  <c r="K22" i="3" s="1"/>
  <c r="I22" i="3"/>
  <c r="G21" i="3"/>
  <c r="K21" i="3" s="1"/>
  <c r="I21" i="3"/>
  <c r="G20" i="3"/>
  <c r="I20" i="3"/>
  <c r="G19" i="3"/>
  <c r="I19" i="3"/>
  <c r="G18" i="3"/>
  <c r="K18" i="3" s="1"/>
  <c r="I18" i="3"/>
  <c r="G17" i="3"/>
  <c r="K17" i="3" s="1"/>
  <c r="I17" i="3"/>
  <c r="G16" i="3"/>
  <c r="I16" i="3"/>
  <c r="G15" i="3"/>
  <c r="I15" i="3"/>
  <c r="G14" i="3"/>
  <c r="K14" i="3" s="1"/>
  <c r="I14" i="3"/>
  <c r="G13" i="3"/>
  <c r="K13" i="3" s="1"/>
  <c r="I13" i="3"/>
  <c r="G12" i="3"/>
  <c r="I12" i="3"/>
  <c r="G11" i="3"/>
  <c r="I11" i="3"/>
  <c r="E4" i="3"/>
  <c r="E5" i="3"/>
  <c r="E6" i="3"/>
  <c r="E7" i="3"/>
  <c r="E8" i="3"/>
  <c r="E9" i="3"/>
  <c r="E10" i="3"/>
  <c r="E11" i="3"/>
  <c r="K11" i="3" s="1"/>
  <c r="E12" i="3"/>
  <c r="K12" i="3" s="1"/>
  <c r="E13" i="3"/>
  <c r="E14" i="3"/>
  <c r="E15" i="3"/>
  <c r="K15" i="3" s="1"/>
  <c r="E16" i="3"/>
  <c r="K16" i="3" s="1"/>
  <c r="E17" i="3"/>
  <c r="E18" i="3"/>
  <c r="E19" i="3"/>
  <c r="K19" i="3" s="1"/>
  <c r="E20" i="3"/>
  <c r="K20" i="3" s="1"/>
  <c r="E21" i="3"/>
  <c r="E22" i="3"/>
  <c r="E23" i="3"/>
  <c r="E24" i="3"/>
  <c r="E25" i="3"/>
  <c r="E26" i="3"/>
  <c r="E27" i="3"/>
  <c r="E3" i="3"/>
  <c r="K6" i="3" l="1"/>
  <c r="K8" i="3"/>
  <c r="K4" i="3"/>
  <c r="R14" i="3"/>
  <c r="K24" i="3"/>
  <c r="K23" i="3"/>
  <c r="J25" i="3"/>
  <c r="G6" i="3"/>
  <c r="I6" i="3"/>
  <c r="G7" i="3"/>
  <c r="K7" i="3" s="1"/>
  <c r="I7" i="3"/>
  <c r="G8" i="3"/>
  <c r="I8" i="3"/>
  <c r="G9" i="3"/>
  <c r="I9" i="3"/>
  <c r="K9" i="3" s="1"/>
  <c r="G10" i="3"/>
  <c r="I10" i="3"/>
  <c r="K10" i="3" s="1"/>
  <c r="I4" i="3"/>
  <c r="I5" i="3"/>
  <c r="J5" i="3" s="1"/>
  <c r="I3" i="3"/>
  <c r="G4" i="3"/>
  <c r="G5" i="3"/>
  <c r="K5" i="3" s="1"/>
  <c r="G3" i="3"/>
  <c r="K3" i="3" s="1"/>
  <c r="R5" i="3"/>
  <c r="R6" i="3"/>
  <c r="R4" i="3"/>
  <c r="R7" i="3" s="1"/>
  <c r="C4" i="3"/>
  <c r="J4" i="3" s="1"/>
  <c r="C5" i="3"/>
  <c r="C6" i="3"/>
  <c r="C7" i="3"/>
  <c r="C8" i="3"/>
  <c r="C9" i="3"/>
  <c r="C10" i="3"/>
  <c r="C11" i="3"/>
  <c r="J11" i="3" s="1"/>
  <c r="C12" i="3"/>
  <c r="J12" i="3" s="1"/>
  <c r="C13" i="3"/>
  <c r="J13" i="3" s="1"/>
  <c r="C14" i="3"/>
  <c r="J14" i="3" s="1"/>
  <c r="C15" i="3"/>
  <c r="J15" i="3" s="1"/>
  <c r="C16" i="3"/>
  <c r="J16" i="3" s="1"/>
  <c r="C17" i="3"/>
  <c r="J17" i="3" s="1"/>
  <c r="C18" i="3"/>
  <c r="J18" i="3" s="1"/>
  <c r="C19" i="3"/>
  <c r="J19" i="3" s="1"/>
  <c r="C20" i="3"/>
  <c r="J20" i="3" s="1"/>
  <c r="C21" i="3"/>
  <c r="J21" i="3" s="1"/>
  <c r="C22" i="3"/>
  <c r="J22" i="3" s="1"/>
  <c r="C23" i="3"/>
  <c r="J23" i="3" s="1"/>
  <c r="C24" i="3"/>
  <c r="J24" i="3" s="1"/>
  <c r="C25" i="3"/>
  <c r="C26" i="3"/>
  <c r="J26" i="3" s="1"/>
  <c r="C27" i="3"/>
  <c r="C3" i="3"/>
  <c r="J3" i="3" s="1"/>
  <c r="N24" i="3" l="1"/>
  <c r="M24" i="3"/>
  <c r="N23" i="3"/>
  <c r="M23" i="3"/>
  <c r="J9" i="3"/>
  <c r="J10" i="3"/>
  <c r="J7" i="3"/>
  <c r="J8" i="3"/>
  <c r="J6" i="3"/>
  <c r="C6" i="4"/>
  <c r="D6" i="4" s="1"/>
  <c r="F6" i="4" s="1"/>
  <c r="C7" i="4"/>
  <c r="D7" i="4" s="1"/>
  <c r="F7" i="4" s="1"/>
  <c r="C8" i="4"/>
  <c r="D8" i="4" s="1"/>
  <c r="F8" i="4" s="1"/>
  <c r="C9" i="4"/>
  <c r="D9" i="4" s="1"/>
  <c r="F9" i="4" s="1"/>
  <c r="C10" i="4"/>
  <c r="D10" i="4" s="1"/>
  <c r="F10" i="4" s="1"/>
  <c r="C11" i="4"/>
  <c r="D11" i="4" s="1"/>
  <c r="F11" i="4" s="1"/>
  <c r="B17" i="4"/>
  <c r="B18" i="4"/>
  <c r="B19" i="4"/>
  <c r="B20" i="4"/>
  <c r="B21" i="4"/>
  <c r="H6" i="4" l="1"/>
  <c r="H10" i="4"/>
  <c r="H9" i="4"/>
  <c r="H7" i="4"/>
</calcChain>
</file>

<file path=xl/sharedStrings.xml><?xml version="1.0" encoding="utf-8"?>
<sst xmlns="http://schemas.openxmlformats.org/spreadsheetml/2006/main" count="1180" uniqueCount="448">
  <si>
    <t>rep</t>
  </si>
  <si>
    <t>abs@882</t>
  </si>
  <si>
    <t>final ppm P</t>
  </si>
  <si>
    <t>ul 2 ppm P stock in 300 ul total</t>
  </si>
  <si>
    <t>MYC-water-N-mix3</t>
  </si>
  <si>
    <t>plant P SE:</t>
  </si>
  <si>
    <t>MYC-water-N-mix2</t>
  </si>
  <si>
    <t>plant P mean:</t>
  </si>
  <si>
    <t>MYC-water-N-mix1</t>
  </si>
  <si>
    <t>plant E</t>
  </si>
  <si>
    <t>plant C</t>
  </si>
  <si>
    <t>plant A</t>
  </si>
  <si>
    <t>Colwell P</t>
  </si>
  <si>
    <t>g soil</t>
  </si>
  <si>
    <t>undiluted ppm P</t>
  </si>
  <si>
    <t>ppm</t>
  </si>
  <si>
    <t>absorbance</t>
  </si>
  <si>
    <t>sample</t>
  </si>
  <si>
    <t>275 ul sample and 25 ul Murphy-Riley reagent</t>
  </si>
  <si>
    <t>2X dilution following extraction (0.5 mL extractant and 0.5 mL 0.5 M HCl)</t>
  </si>
  <si>
    <t>0 ppm N std</t>
  </si>
  <si>
    <t>0.1 ppm N std</t>
  </si>
  <si>
    <t>0.5 ppm N std</t>
  </si>
  <si>
    <t>1 ppm N std</t>
  </si>
  <si>
    <t>2 ppm N std</t>
  </si>
  <si>
    <t>5 ppm N std</t>
  </si>
  <si>
    <t>7 ppm N std</t>
  </si>
  <si>
    <t>10 ppm N std</t>
  </si>
  <si>
    <t>20 ppm N std</t>
  </si>
  <si>
    <t>40 ppm N std</t>
  </si>
  <si>
    <t>#1 sand/soil</t>
  </si>
  <si>
    <t>#2 sand/soil</t>
  </si>
  <si>
    <t>#3 sand/soil</t>
  </si>
  <si>
    <t>#4 sand/soil</t>
  </si>
  <si>
    <t>blank</t>
  </si>
  <si>
    <t>A</t>
  </si>
  <si>
    <t>B</t>
  </si>
  <si>
    <t>C</t>
  </si>
  <si>
    <t>D</t>
  </si>
  <si>
    <t>E</t>
  </si>
  <si>
    <t>F</t>
  </si>
  <si>
    <t>G</t>
  </si>
  <si>
    <t>H</t>
  </si>
  <si>
    <t>5/28/2015 - initial DIN concentrations in sand/soil mix for MYC-water-N and for the N gradient</t>
  </si>
  <si>
    <t>Sample</t>
  </si>
  <si>
    <t>abs</t>
  </si>
  <si>
    <t>GWC</t>
  </si>
  <si>
    <t>GWC of N:P gradient soil:</t>
  </si>
  <si>
    <t>2C</t>
  </si>
  <si>
    <t>5B</t>
  </si>
  <si>
    <t>5A</t>
  </si>
  <si>
    <t>KCl</t>
  </si>
  <si>
    <t>water in soil</t>
  </si>
  <si>
    <t>g dry soil</t>
  </si>
  <si>
    <t>ug NH4-N/ g soil</t>
  </si>
  <si>
    <t>NITRATE RESULTS: (290 ul reagent, 10 ul sample)</t>
  </si>
  <si>
    <t>AMMONIUM RESULTS (139 ul A, 22 ul sample, 139 ul B)</t>
  </si>
  <si>
    <t>AMMONIUM</t>
  </si>
  <si>
    <t>NITRATE</t>
  </si>
  <si>
    <t>NO3-N/g</t>
  </si>
  <si>
    <t>GWC of MYC-water-N soil</t>
  </si>
  <si>
    <t>8C</t>
  </si>
  <si>
    <t>8B</t>
  </si>
  <si>
    <t>ID</t>
  </si>
  <si>
    <t>leaves.6.10</t>
  </si>
  <si>
    <t>leaves.6.1</t>
  </si>
  <si>
    <t>leaves.6.3</t>
  </si>
  <si>
    <t>leaves.5.29</t>
  </si>
  <si>
    <t>leaves.6.16</t>
  </si>
  <si>
    <t>dead.leaves.total</t>
  </si>
  <si>
    <t>block</t>
  </si>
  <si>
    <t>genotype</t>
  </si>
  <si>
    <t>availability</t>
  </si>
  <si>
    <t>regime</t>
  </si>
  <si>
    <t>MYC+</t>
  </si>
  <si>
    <t>LOW</t>
  </si>
  <si>
    <t>regular</t>
  </si>
  <si>
    <t>rmc</t>
  </si>
  <si>
    <t>MED</t>
  </si>
  <si>
    <t>HIGH</t>
  </si>
  <si>
    <t>pulsed</t>
  </si>
  <si>
    <t>shoot.fw</t>
  </si>
  <si>
    <t>root.fw</t>
  </si>
  <si>
    <t>root.subsample.fw</t>
  </si>
  <si>
    <t>NA</t>
  </si>
  <si>
    <t>tin#</t>
  </si>
  <si>
    <t>4C</t>
  </si>
  <si>
    <t>8A</t>
  </si>
  <si>
    <t>3A</t>
  </si>
  <si>
    <t>7C</t>
  </si>
  <si>
    <t>1A</t>
  </si>
  <si>
    <t>6A</t>
  </si>
  <si>
    <t>1B</t>
  </si>
  <si>
    <t>4A</t>
  </si>
  <si>
    <t>5C</t>
  </si>
  <si>
    <t>6C</t>
  </si>
  <si>
    <t>7B</t>
  </si>
  <si>
    <t>3B</t>
  </si>
  <si>
    <t>7A</t>
  </si>
  <si>
    <t>tin+wet soil</t>
  </si>
  <si>
    <t>leachate</t>
  </si>
  <si>
    <t>Plate 1</t>
  </si>
  <si>
    <t>0 ppm</t>
  </si>
  <si>
    <t>0.01 ppm</t>
  </si>
  <si>
    <t>0.02 ppm</t>
  </si>
  <si>
    <t>0.05 ppm</t>
  </si>
  <si>
    <t>0.1 ppm</t>
  </si>
  <si>
    <t>0.2 ppm</t>
  </si>
  <si>
    <t>0.5 ppm</t>
  </si>
  <si>
    <t>1 ppm</t>
  </si>
  <si>
    <t>2 ppm</t>
  </si>
  <si>
    <t>Plate 2</t>
  </si>
  <si>
    <t>leachate NH4+</t>
  </si>
  <si>
    <t>1.0 ppm</t>
  </si>
  <si>
    <t>2.0 ppm</t>
  </si>
  <si>
    <t>5.0 ppm</t>
  </si>
  <si>
    <t>10 ppm</t>
  </si>
  <si>
    <t>20 ppm</t>
  </si>
  <si>
    <t>KCl NH4 and NO3, and leachate NO3</t>
  </si>
  <si>
    <t>June 25</t>
  </si>
  <si>
    <t>KCl blank</t>
  </si>
  <si>
    <t>KCl NH4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</si>
  <si>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</si>
  <si>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</si>
  <si>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</si>
  <si>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</si>
  <si>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</si>
  <si>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</si>
  <si>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</si>
  <si>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</si>
  <si>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</si>
  <si>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</si>
  <si>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</si>
  <si>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</si>
  <si>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</si>
  <si>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</si>
  <si>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</si>
  <si>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</si>
  <si>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</si>
  <si>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</si>
  <si>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</si>
  <si>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</si>
  <si>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</si>
  <si>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</si>
  <si>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</si>
  <si>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</si>
  <si>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</si>
  <si>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</si>
  <si>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</si>
  <si>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</si>
  <si>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</si>
  <si>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</si>
  <si>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</si>
  <si>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</si>
  <si>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</si>
  <si>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</si>
  <si>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</si>
  <si>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</si>
  <si>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</si>
  <si>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</si>
  <si>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</si>
  <si>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leachate NO3</t>
  </si>
  <si>
    <t>KCl NO3</t>
  </si>
  <si>
    <t>leachate NH4</t>
  </si>
  <si>
    <t>KCl NH4 re-dos</t>
  </si>
  <si>
    <t>ppm*3</t>
  </si>
  <si>
    <t>leachate.nh4</t>
  </si>
  <si>
    <t>leachate.no3</t>
  </si>
  <si>
    <t>leachate.nh4 (ppm)</t>
  </si>
  <si>
    <t>leachate.no3 (ppm)</t>
  </si>
  <si>
    <t>KCL NH4 (ppm</t>
  </si>
  <si>
    <t>KCl NO3 (ppm)</t>
  </si>
  <si>
    <t>ppm (with re-dos)</t>
  </si>
  <si>
    <t>ppm (blank corrected)</t>
  </si>
  <si>
    <t>root.dw</t>
  </si>
  <si>
    <t>shoot.dw</t>
  </si>
  <si>
    <t>tin+dry soil</t>
  </si>
  <si>
    <t>dead.leaves.dry</t>
  </si>
  <si>
    <t>gwc</t>
  </si>
  <si>
    <t>tin weight</t>
  </si>
  <si>
    <t>KCl dry soil</t>
  </si>
  <si>
    <t>KCl NH4 (ug g)</t>
  </si>
  <si>
    <t>KCl NO3 (ug g)</t>
  </si>
  <si>
    <t>kcl.nh4</t>
  </si>
  <si>
    <t>kcl.no3</t>
  </si>
  <si>
    <t>0 ppm P</t>
  </si>
  <si>
    <t>0.01 ppm P</t>
  </si>
  <si>
    <t>0.02 ppm P</t>
  </si>
  <si>
    <t>0.05 ppm P</t>
  </si>
  <si>
    <t>0.1 ppm P</t>
  </si>
  <si>
    <t>0.2 ppm P</t>
  </si>
  <si>
    <t>0.5 ppm P</t>
  </si>
  <si>
    <t>1.0 ppm P</t>
  </si>
  <si>
    <t>2.0 ppm P</t>
  </si>
  <si>
    <t>WAS24A</t>
  </si>
  <si>
    <t>WAS24B</t>
  </si>
  <si>
    <t>WAS24C</t>
  </si>
  <si>
    <t>Blank</t>
  </si>
  <si>
    <t>JULY 2, 2015, SHOOT P AND STANDARDS</t>
  </si>
  <si>
    <t>5 ul sample (after diluting to 25 mL), 270 ul water, 30 ul Murphy-Riley Reagent</t>
  </si>
  <si>
    <t>41</t>
  </si>
  <si>
    <t>42</t>
  </si>
  <si>
    <t>43</t>
  </si>
  <si>
    <t>44</t>
  </si>
  <si>
    <t>45</t>
  </si>
  <si>
    <t>46</t>
  </si>
  <si>
    <t>47</t>
  </si>
  <si>
    <t>48</t>
  </si>
  <si>
    <t>49</t>
  </si>
  <si>
    <t>50</t>
  </si>
  <si>
    <t>SHOOTS</t>
  </si>
  <si>
    <t>g tissue</t>
  </si>
  <si>
    <t>total ug</t>
  </si>
  <si>
    <t>ug per g</t>
  </si>
  <si>
    <t>% P</t>
  </si>
  <si>
    <t>ppm*55</t>
  </si>
  <si>
    <t>JULY 3, 2015, SHOOT P AND STANDARDS</t>
  </si>
  <si>
    <t>7 ul sample (after diluting to 40 mL), 268 ul water, 30 ul Murphy-Riley Reagent</t>
  </si>
  <si>
    <t>ppm adjusted</t>
  </si>
  <si>
    <t>ROOTS</t>
  </si>
  <si>
    <t>root.P</t>
  </si>
  <si>
    <t>shoot.P</t>
  </si>
  <si>
    <t>mid-experiment</t>
  </si>
  <si>
    <t>undiluted ppm</t>
  </si>
  <si>
    <t>harvest</t>
  </si>
  <si>
    <t>dilution following extraction: (0.5 mL extractant and 0.25 mL 1.0 M HCl)</t>
  </si>
  <si>
    <t>275 ul sample and 30 ul Murphy-Riley reagent</t>
  </si>
  <si>
    <t>colwell.P</t>
  </si>
  <si>
    <t>ROOTS redo</t>
  </si>
  <si>
    <t>root P redo</t>
  </si>
  <si>
    <t>root P first</t>
  </si>
  <si>
    <t>low</t>
  </si>
  <si>
    <t>med</t>
  </si>
  <si>
    <t>high</t>
  </si>
  <si>
    <t>amount</t>
  </si>
  <si>
    <t>pattern</t>
  </si>
  <si>
    <t>new.ppm</t>
  </si>
  <si>
    <t>8/6/2015: eliminated these higher standards to deal with negative ppms… there are only a few samples over 2 ppm and they are only slightly over. Shouldn't make much difference on the high end</t>
  </si>
  <si>
    <t>intersections</t>
  </si>
  <si>
    <t>AM.present</t>
  </si>
  <si>
    <t>Sample Identifier</t>
  </si>
  <si>
    <t>Sample Weight (mg)</t>
  </si>
  <si>
    <t>Tray / Well</t>
  </si>
  <si>
    <t>N (µg)</t>
  </si>
  <si>
    <t>15N (at-%)</t>
  </si>
  <si>
    <t>δ15N (air)</t>
  </si>
  <si>
    <t>N Comments</t>
  </si>
  <si>
    <t>C (µg)</t>
  </si>
  <si>
    <t>δ13C (VPDB)</t>
  </si>
  <si>
    <t>13C (at-%)</t>
  </si>
  <si>
    <t>C Comments</t>
  </si>
  <si>
    <t>1-shoots</t>
  </si>
  <si>
    <t>shoots A1</t>
  </si>
  <si>
    <t>2-shoots</t>
  </si>
  <si>
    <t>A2</t>
  </si>
  <si>
    <t>3-shoots</t>
  </si>
  <si>
    <t>A3</t>
  </si>
  <si>
    <t>4-shoots</t>
  </si>
  <si>
    <t>A4</t>
  </si>
  <si>
    <t>5-shoots</t>
  </si>
  <si>
    <t>A5</t>
  </si>
  <si>
    <t>6-shoots</t>
  </si>
  <si>
    <t>A6</t>
  </si>
  <si>
    <t>7-shoots</t>
  </si>
  <si>
    <t>A7</t>
  </si>
  <si>
    <t>8-shoots</t>
  </si>
  <si>
    <t>A8</t>
  </si>
  <si>
    <t>9-shoots</t>
  </si>
  <si>
    <t>A9</t>
  </si>
  <si>
    <t>10-shoots</t>
  </si>
  <si>
    <t>A10</t>
  </si>
  <si>
    <t>11-shoots</t>
  </si>
  <si>
    <t>A11</t>
  </si>
  <si>
    <t>12-shoots</t>
  </si>
  <si>
    <t>A12</t>
  </si>
  <si>
    <t>13-shoots</t>
  </si>
  <si>
    <t>B1</t>
  </si>
  <si>
    <t>14-shoots</t>
  </si>
  <si>
    <t>B2</t>
  </si>
  <si>
    <t>15-shoots</t>
  </si>
  <si>
    <t>B3</t>
  </si>
  <si>
    <t>16-shoots</t>
  </si>
  <si>
    <t>B4</t>
  </si>
  <si>
    <t>17-shoots</t>
  </si>
  <si>
    <t>B5</t>
  </si>
  <si>
    <t>18-shoots</t>
  </si>
  <si>
    <t>B6</t>
  </si>
  <si>
    <t>19-shoots</t>
  </si>
  <si>
    <t>B7</t>
  </si>
  <si>
    <t>20-shoots</t>
  </si>
  <si>
    <t>B8</t>
  </si>
  <si>
    <t>21-shoots</t>
  </si>
  <si>
    <t>B9</t>
  </si>
  <si>
    <t>22-shoots</t>
  </si>
  <si>
    <t>B10</t>
  </si>
  <si>
    <t>23-shoots</t>
  </si>
  <si>
    <t>B11</t>
  </si>
  <si>
    <t>24-shoots</t>
  </si>
  <si>
    <t>B12</t>
  </si>
  <si>
    <t>25-shoots</t>
  </si>
  <si>
    <t>C1</t>
  </si>
  <si>
    <t>No signal</t>
  </si>
  <si>
    <t>26-shoots</t>
  </si>
  <si>
    <t>C2</t>
  </si>
  <si>
    <t>C1 and C2 dropped together</t>
  </si>
  <si>
    <t>27-shoots</t>
  </si>
  <si>
    <t>C3</t>
  </si>
  <si>
    <t>28-shoots</t>
  </si>
  <si>
    <t>C4</t>
  </si>
  <si>
    <t>29-shoots</t>
  </si>
  <si>
    <t>C5</t>
  </si>
  <si>
    <t>30-shoots</t>
  </si>
  <si>
    <t>C6</t>
  </si>
  <si>
    <t>31-shoots</t>
  </si>
  <si>
    <t>C7</t>
  </si>
  <si>
    <t>32-shoots</t>
  </si>
  <si>
    <t>C8</t>
  </si>
  <si>
    <t>33-shoots</t>
  </si>
  <si>
    <t>C9</t>
  </si>
  <si>
    <t>34-shoots</t>
  </si>
  <si>
    <t>C10</t>
  </si>
  <si>
    <t>35-shoots</t>
  </si>
  <si>
    <t>C11</t>
  </si>
  <si>
    <t>36-shoots</t>
  </si>
  <si>
    <t>C12</t>
  </si>
  <si>
    <t>37-shoots</t>
  </si>
  <si>
    <t>D1</t>
  </si>
  <si>
    <t>38-shoots</t>
  </si>
  <si>
    <t>D2</t>
  </si>
  <si>
    <t>39-shoots</t>
  </si>
  <si>
    <t>D3</t>
  </si>
  <si>
    <t>40-shoots</t>
  </si>
  <si>
    <t>D4</t>
  </si>
  <si>
    <t>41-shoots</t>
  </si>
  <si>
    <t>D5</t>
  </si>
  <si>
    <t>42-shoots</t>
  </si>
  <si>
    <t>D6</t>
  </si>
  <si>
    <t>43-shoots</t>
  </si>
  <si>
    <t>D7</t>
  </si>
  <si>
    <t>44-shoots</t>
  </si>
  <si>
    <t>D8</t>
  </si>
  <si>
    <t>45-shoots</t>
  </si>
  <si>
    <t>D9</t>
  </si>
  <si>
    <t>46-shoots</t>
  </si>
  <si>
    <t>D10</t>
  </si>
  <si>
    <t>47-shoots</t>
  </si>
  <si>
    <t>D11</t>
  </si>
  <si>
    <t>48-shoots</t>
  </si>
  <si>
    <t>D12</t>
  </si>
  <si>
    <t>49-shoots</t>
  </si>
  <si>
    <t>E1</t>
  </si>
  <si>
    <t>50-shoots</t>
  </si>
  <si>
    <t>E2</t>
  </si>
  <si>
    <t>51-shoots</t>
  </si>
  <si>
    <t>E3</t>
  </si>
  <si>
    <t>52-shoots</t>
  </si>
  <si>
    <t>E4</t>
  </si>
  <si>
    <t>53-shoots</t>
  </si>
  <si>
    <t>E5</t>
  </si>
  <si>
    <t>54-shoots</t>
  </si>
  <si>
    <t>E6</t>
  </si>
  <si>
    <t>55-shoots</t>
  </si>
  <si>
    <t>E7</t>
  </si>
  <si>
    <t>56-shoots</t>
  </si>
  <si>
    <t>E8</t>
  </si>
  <si>
    <t>57-shoots</t>
  </si>
  <si>
    <t>E9</t>
  </si>
  <si>
    <t>58-shoots</t>
  </si>
  <si>
    <t>E10</t>
  </si>
  <si>
    <t>59-shoots</t>
  </si>
  <si>
    <t>E11</t>
  </si>
  <si>
    <t>60-shoots</t>
  </si>
  <si>
    <t>E12</t>
  </si>
  <si>
    <t>1-roots</t>
  </si>
  <si>
    <t>roots A1</t>
  </si>
  <si>
    <t>2-roots</t>
  </si>
  <si>
    <t>3-roots</t>
  </si>
  <si>
    <t>4-roots</t>
  </si>
  <si>
    <t>5-roots</t>
  </si>
  <si>
    <t>6-roots</t>
  </si>
  <si>
    <t>7-roots</t>
  </si>
  <si>
    <t>8-roots</t>
  </si>
  <si>
    <t>9-roots</t>
  </si>
  <si>
    <t>10-roots</t>
  </si>
  <si>
    <t>11-roots</t>
  </si>
  <si>
    <t>12-roots</t>
  </si>
  <si>
    <t>13-roots</t>
  </si>
  <si>
    <t>14-roots</t>
  </si>
  <si>
    <t>15-roots</t>
  </si>
  <si>
    <t>16-roots</t>
  </si>
  <si>
    <t>17-roots</t>
  </si>
  <si>
    <t>18-roots</t>
  </si>
  <si>
    <t>19-roots</t>
  </si>
  <si>
    <t>20-roots</t>
  </si>
  <si>
    <t>21-roots</t>
  </si>
  <si>
    <t>22-roots</t>
  </si>
  <si>
    <t>23-roots</t>
  </si>
  <si>
    <t>24-roots</t>
  </si>
  <si>
    <t>25-roots</t>
  </si>
  <si>
    <t>26-roots</t>
  </si>
  <si>
    <t>27-roots</t>
  </si>
  <si>
    <t>28-roots</t>
  </si>
  <si>
    <t>29-roots</t>
  </si>
  <si>
    <t>30-roots</t>
  </si>
  <si>
    <t>31-roots</t>
  </si>
  <si>
    <t>32-roots</t>
  </si>
  <si>
    <t>33-roots</t>
  </si>
  <si>
    <t>34-roots</t>
  </si>
  <si>
    <t>35-roots</t>
  </si>
  <si>
    <t>36-roots</t>
  </si>
  <si>
    <t>37-roots</t>
  </si>
  <si>
    <t>38-roots</t>
  </si>
  <si>
    <t>39-roots</t>
  </si>
  <si>
    <t>40-roots</t>
  </si>
  <si>
    <t>41-roots</t>
  </si>
  <si>
    <t>42-roots</t>
  </si>
  <si>
    <t>43-roots</t>
  </si>
  <si>
    <t>44-roots</t>
  </si>
  <si>
    <t>45-roots</t>
  </si>
  <si>
    <t>46-roots</t>
  </si>
  <si>
    <t>47-roots</t>
  </si>
  <si>
    <t>48-roots</t>
  </si>
  <si>
    <t>49-roots</t>
  </si>
  <si>
    <t>50-roots</t>
  </si>
  <si>
    <t>51-roots</t>
  </si>
  <si>
    <t>52-roots</t>
  </si>
  <si>
    <t>53-roots</t>
  </si>
  <si>
    <t>54-roots</t>
  </si>
  <si>
    <t>55-roots</t>
  </si>
  <si>
    <t>56-roots</t>
  </si>
  <si>
    <t>57-roots</t>
  </si>
  <si>
    <t>58-roots</t>
  </si>
  <si>
    <t>59-roots</t>
  </si>
  <si>
    <t>60-roots</t>
  </si>
  <si>
    <t>N (%)</t>
  </si>
  <si>
    <t>C (%)</t>
  </si>
  <si>
    <t>shoot.N</t>
  </si>
  <si>
    <t>shoot.at15N</t>
  </si>
  <si>
    <t>shoot.C</t>
  </si>
  <si>
    <t>shoot.13C</t>
  </si>
  <si>
    <t>root.N</t>
  </si>
  <si>
    <t>root.at15N</t>
  </si>
  <si>
    <t>shoot.CN</t>
  </si>
  <si>
    <t>root.C</t>
  </si>
  <si>
    <t>root.13C</t>
  </si>
  <si>
    <t>root.CN</t>
  </si>
  <si>
    <t>We ask that prior to making use of the data in this file that the authors be contacted (timothy.cavagnaro@adelaide.edu.au or soilecology.org) so that any details of proposed use might be discussed. We ask this to ensure that data are used appropriately and any limitations or contetually relevent infomration associated with the are clealry understood and taken into account. Thank you in advance.</t>
  </si>
  <si>
    <t>Data sent by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</si>
</sst>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000"/>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3"/>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i/>
      <sz val="11"/>
      <color theme="1"/>
      <name val="Calibri"/>
      <family val="2"/>
      <scheme val="minor"/>
    </font>
    <font>
      <sz val="11"/>
      <color indexed="8"/>
      <name val="Calibri"/>
      <family val="2"/>
    </font>
    <font>
      <sz val="8"/>
      <name val="Arial"/>
      <family val="2"/>
    </font>
    <font>
      <b/>
      <sz val="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9" fillId="32" borderId="0" applyNumberFormat="0" applyBorder="0" applyAlignment="0" applyProtection="0"/>
    <xf numFmtId="0" fontId="21" fillId="8" borderId="8" applyNumberFormat="0" applyFont="0" applyAlignment="0" applyProtection="0"/>
    <xf numFmtId="0" fontId="5" fillId="8" borderId="8" applyNumberFormat="0" applyFont="0" applyAlignment="0" applyProtection="0"/>
    <xf numFmtId="0" fontId="21" fillId="8" borderId="8" applyNumberFormat="0" applyFont="0" applyAlignment="0" applyProtection="0"/>
  </cellStyleXfs>
  <cellXfs count="65">
    <xf numFmtId="0" fontId="0" fillId="0" borderId="0" xfId="0"/>
    <xf numFmtId="16" fontId="0" fillId="0" borderId="0" xfId="0" applyNumberFormat="1"/>
    <xf numFmtId="0" fontId="0" fillId="0" borderId="0" xfId="0" applyAlignment="1">
      <alignment horizontal="center"/>
    </xf>
    <xf numFmtId="164" fontId="0" fillId="0" borderId="0" xfId="0" applyNumberFormat="1" applyAlignment="1">
      <alignment horizontal="center"/>
    </xf>
    <xf numFmtId="165" fontId="0" fillId="0" borderId="0" xfId="0" applyNumberFormat="1"/>
    <xf numFmtId="165" fontId="0" fillId="0" borderId="0" xfId="0" applyNumberFormat="1" applyAlignment="1">
      <alignment horizontal="center"/>
    </xf>
    <xf numFmtId="2" fontId="1" fillId="0" borderId="0" xfId="0" applyNumberFormat="1" applyFont="1"/>
    <xf numFmtId="0" fontId="1" fillId="0" borderId="0" xfId="0" applyFont="1" applyAlignment="1">
      <alignment horizontal="right"/>
    </xf>
    <xf numFmtId="165" fontId="1" fillId="0" borderId="0" xfId="0" applyNumberFormat="1" applyFont="1"/>
    <xf numFmtId="0" fontId="1" fillId="0" borderId="0" xfId="0" applyFont="1"/>
    <xf numFmtId="0" fontId="1" fillId="0" borderId="0" xfId="0" applyFont="1" applyAlignment="1">
      <alignment horizontal="center" vertical="center" wrapText="1"/>
    </xf>
    <xf numFmtId="164" fontId="0" fillId="0" borderId="0" xfId="0" applyNumberFormat="1"/>
    <xf numFmtId="2" fontId="0" fillId="0" borderId="0" xfId="0" applyNumberFormat="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xf numFmtId="0" fontId="4" fillId="0" borderId="0" xfId="0" applyFont="1" applyAlignment="1">
      <alignment horizontal="center"/>
    </xf>
    <xf numFmtId="2" fontId="4" fillId="0" borderId="0" xfId="0" applyNumberFormat="1" applyFont="1" applyAlignment="1">
      <alignment horizontal="center"/>
    </xf>
    <xf numFmtId="0" fontId="4" fillId="0" borderId="0" xfId="0" applyFont="1"/>
    <xf numFmtId="0" fontId="0" fillId="0" borderId="0" xfId="0" applyAlignment="1">
      <alignment horizontal="center"/>
    </xf>
    <xf numFmtId="0" fontId="0" fillId="0" borderId="0" xfId="0" applyAlignment="1">
      <alignment horizontal="center"/>
    </xf>
    <xf numFmtId="49" fontId="0" fillId="0" borderId="0" xfId="0" applyNumberFormat="1"/>
    <xf numFmtId="16" fontId="1" fillId="0" borderId="0" xfId="0" applyNumberFormat="1" applyFont="1" applyAlignment="1">
      <alignment horizontal="center"/>
    </xf>
    <xf numFmtId="16" fontId="20" fillId="0" borderId="0" xfId="0" applyNumberFormat="1" applyFont="1" applyAlignment="1">
      <alignment horizontal="center"/>
    </xf>
    <xf numFmtId="0" fontId="20" fillId="0" borderId="0" xfId="0" applyFont="1" applyAlignment="1">
      <alignment horizontal="center"/>
    </xf>
    <xf numFmtId="0" fontId="0" fillId="0" borderId="0" xfId="0" applyAlignment="1">
      <alignment horizontal="center"/>
    </xf>
    <xf numFmtId="0" fontId="0" fillId="0" borderId="0" xfId="0" applyNumberFormat="1" applyFill="1" applyBorder="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wrapText="1"/>
    </xf>
    <xf numFmtId="2" fontId="0" fillId="0" borderId="0" xfId="0" applyNumberFormat="1"/>
    <xf numFmtId="0" fontId="0" fillId="33" borderId="0" xfId="0" applyFill="1"/>
    <xf numFmtId="165" fontId="0" fillId="33" borderId="0" xfId="0" applyNumberFormat="1" applyFill="1"/>
    <xf numFmtId="0" fontId="0" fillId="0" borderId="0" xfId="0"/>
    <xf numFmtId="0" fontId="0" fillId="0" borderId="0" xfId="0" applyNumberFormat="1" applyFill="1" applyBorder="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xf numFmtId="0" fontId="0" fillId="0" borderId="0" xfId="0" applyNumberFormat="1" applyFill="1" applyBorder="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Alignment="1">
      <alignment horizontal="center"/>
    </xf>
    <xf numFmtId="15" fontId="1" fillId="0" borderId="0" xfId="0" applyNumberFormat="1" applyFont="1"/>
    <xf numFmtId="0" fontId="0" fillId="0" borderId="0" xfId="0" applyAlignment="1">
      <alignment horizontal="center"/>
    </xf>
    <xf numFmtId="0" fontId="2" fillId="0" borderId="0" xfId="0" applyNumberFormat="1" applyFont="1" applyAlignment="1">
      <alignment horizontal="center" vertical="center"/>
    </xf>
    <xf numFmtId="0" fontId="2" fillId="0" borderId="0" xfId="0" applyNumberFormat="1" applyFont="1" applyAlignment="1">
      <alignment horizontal="center" vertical="center" wrapText="1"/>
    </xf>
    <xf numFmtId="0" fontId="0" fillId="0" borderId="0" xfId="0" applyAlignment="1">
      <alignment horizontal="left"/>
    </xf>
    <xf numFmtId="0" fontId="22" fillId="0" borderId="0" xfId="0" applyFont="1" applyFill="1"/>
    <xf numFmtId="164" fontId="22" fillId="0" borderId="0" xfId="0" applyNumberFormat="1" applyFont="1" applyFill="1"/>
    <xf numFmtId="165" fontId="22" fillId="0" borderId="0" xfId="0" applyNumberFormat="1" applyFont="1" applyFill="1"/>
    <xf numFmtId="165" fontId="22" fillId="0" borderId="0" xfId="0" applyNumberFormat="1" applyFont="1" applyFill="1" applyAlignment="1"/>
    <xf numFmtId="166" fontId="22" fillId="0" borderId="0" xfId="0" applyNumberFormat="1" applyFont="1" applyFill="1"/>
    <xf numFmtId="2" fontId="22" fillId="0" borderId="0" xfId="0" applyNumberFormat="1" applyFont="1" applyFill="1"/>
    <xf numFmtId="0" fontId="23" fillId="0" borderId="0" xfId="0" applyFont="1" applyAlignment="1">
      <alignment horizontal="center" vertical="top" wrapText="1"/>
    </xf>
    <xf numFmtId="164" fontId="23" fillId="0" borderId="0" xfId="0" applyNumberFormat="1" applyFont="1" applyAlignment="1">
      <alignment horizontal="center" vertical="top" wrapText="1"/>
    </xf>
    <xf numFmtId="165" fontId="23" fillId="0" borderId="0" xfId="0" applyNumberFormat="1" applyFont="1" applyAlignment="1">
      <alignment horizontal="center" vertical="top" wrapText="1"/>
    </xf>
    <xf numFmtId="166" fontId="23" fillId="0" borderId="0" xfId="0" applyNumberFormat="1" applyFont="1" applyAlignment="1">
      <alignment horizontal="center" vertical="top" wrapText="1"/>
    </xf>
    <xf numFmtId="0" fontId="22" fillId="0" borderId="0" xfId="0" applyFont="1" applyAlignment="1">
      <alignment horizontal="center" vertical="top" wrapText="1"/>
    </xf>
    <xf numFmtId="11" fontId="22" fillId="0" borderId="0" xfId="0" applyNumberFormat="1" applyFont="1" applyFill="1"/>
    <xf numFmtId="167" fontId="22" fillId="0" borderId="0" xfId="0" applyNumberFormat="1" applyFont="1" applyFill="1"/>
    <xf numFmtId="0" fontId="0" fillId="0" borderId="0" xfId="0" applyAlignment="1">
      <alignment horizontal="center"/>
    </xf>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2" xfId="42" xr:uid="{00000000-0005-0000-0000-000025000000}"/>
    <cellStyle name="Note 3" xfId="43" xr:uid="{00000000-0005-0000-0000-000026000000}"/>
    <cellStyle name="Note 4" xfId="41" xr:uid="{00000000-0005-0000-0000-000027000000}"/>
    <cellStyle name="Output" xfId="10" builtinId="21" customBuiltin="1"/>
    <cellStyle name="Title" xfId="1" builtinId="15" customBuiltin="1"/>
    <cellStyle name="Total" xfId="16"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0.40194772528433947"/>
                  <c:y val="-5.1042578011081946E-3"/>
                </c:manualLayout>
              </c:layout>
              <c:numFmt formatCode="General" sourceLinked="0"/>
            </c:trendlineLbl>
          </c:trendline>
          <c:xVal>
            <c:numRef>
              <c:f>'Colwell P'!$B$16:$B$21</c:f>
              <c:numCache>
                <c:formatCode>0.000</c:formatCode>
                <c:ptCount val="6"/>
                <c:pt idx="0" formatCode="General">
                  <c:v>0</c:v>
                </c:pt>
                <c:pt idx="1">
                  <c:v>6.6666666666666671E-3</c:v>
                </c:pt>
                <c:pt idx="2">
                  <c:v>3.3333333333333333E-2</c:v>
                </c:pt>
                <c:pt idx="3">
                  <c:v>6.6666666666666666E-2</c:v>
                </c:pt>
                <c:pt idx="4">
                  <c:v>0.13333333333333333</c:v>
                </c:pt>
                <c:pt idx="5">
                  <c:v>0.26666666666666666</c:v>
                </c:pt>
              </c:numCache>
            </c:numRef>
          </c:xVal>
          <c:yVal>
            <c:numRef>
              <c:f>'Colwell P'!$C$16:$C$21</c:f>
              <c:numCache>
                <c:formatCode>General</c:formatCode>
                <c:ptCount val="6"/>
                <c:pt idx="0">
                  <c:v>6.5000000000000002E-2</c:v>
                </c:pt>
                <c:pt idx="1">
                  <c:v>6.6000000000000003E-2</c:v>
                </c:pt>
                <c:pt idx="2">
                  <c:v>8.3000000000000004E-2</c:v>
                </c:pt>
                <c:pt idx="3">
                  <c:v>0.10299999999999999</c:v>
                </c:pt>
                <c:pt idx="4">
                  <c:v>0.14599999999999999</c:v>
                </c:pt>
                <c:pt idx="5">
                  <c:v>0.23200000000000001</c:v>
                </c:pt>
              </c:numCache>
            </c:numRef>
          </c:yVal>
          <c:smooth val="0"/>
          <c:extLst>
            <c:ext xmlns:c16="http://schemas.microsoft.com/office/drawing/2014/chart" uri="{C3380CC4-5D6E-409C-BE32-E72D297353CC}">
              <c16:uniqueId val="{00000001-441E-6041-8250-6B1B771A18B4}"/>
            </c:ext>
          </c:extLst>
        </c:ser>
        <c:dLbls>
          <c:showLegendKey val="0"/>
          <c:showVal val="0"/>
          <c:showCatName val="0"/>
          <c:showSerName val="0"/>
          <c:showPercent val="0"/>
          <c:showBubbleSize val="0"/>
        </c:dLbls>
        <c:axId val="130278912"/>
        <c:axId val="130280448"/>
      </c:scatterChart>
      <c:valAx>
        <c:axId val="130278912"/>
        <c:scaling>
          <c:orientation val="minMax"/>
        </c:scaling>
        <c:delete val="0"/>
        <c:axPos val="b"/>
        <c:numFmt formatCode="General" sourceLinked="1"/>
        <c:majorTickMark val="out"/>
        <c:minorTickMark val="none"/>
        <c:tickLblPos val="nextTo"/>
        <c:crossAx val="130280448"/>
        <c:crosses val="autoZero"/>
        <c:crossBetween val="midCat"/>
      </c:valAx>
      <c:valAx>
        <c:axId val="130280448"/>
        <c:scaling>
          <c:orientation val="minMax"/>
        </c:scaling>
        <c:delete val="0"/>
        <c:axPos val="l"/>
        <c:majorGridlines/>
        <c:numFmt formatCode="General" sourceLinked="1"/>
        <c:majorTickMark val="out"/>
        <c:minorTickMark val="none"/>
        <c:tickLblPos val="nextTo"/>
        <c:crossAx val="130278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'DIN results'!$G$134</c:f>
              <c:strCache>
                <c:ptCount val="1"/>
                <c:pt idx="0">
                  <c:v>abs</c:v>
                </c:pt>
              </c:strCache>
            </c:strRef>
          </c:tx>
          <c:spPr>
            <a:ln w="28575">
              <a:noFill/>
            </a:ln>
          </c:spPr>
          <c:trendline>
            <c:trendlineType val="linear"/>
            <c:dispRSqr val="1"/>
            <c:dispEq val="1"/>
            <c:trendlineLbl>
              <c:layout>
                <c:manualLayout>
                  <c:x val="0.40090857392825896"/>
                  <c:y val="-0.16702573636628754"/>
                </c:manualLayout>
              </c:layout>
              <c:numFmt formatCode="General" sourceLinked="0"/>
            </c:trendlineLbl>
          </c:trendline>
          <c:xVal>
            <c:numRef>
              <c:f>'DIN results'!$F$135:$F$143</c:f>
              <c:numCache>
                <c:formatCode>General</c:formatCode>
                <c:ptCount val="9"/>
                <c:pt idx="0">
                  <c:v>0</c:v>
                </c:pt>
                <c:pt idx="1">
                  <c:v>0.1</c:v>
                </c:pt>
                <c:pt idx="2">
                  <c:v>0.2</c:v>
                </c:pt>
                <c:pt idx="3">
                  <c:v>0.5</c:v>
                </c:pt>
                <c:pt idx="4">
                  <c:v>1</c:v>
                </c:pt>
                <c:pt idx="5">
                  <c:v>2</c:v>
                </c:pt>
                <c:pt idx="7">
                  <c:v>10</c:v>
                </c:pt>
                <c:pt idx="8">
                  <c:v>20</c:v>
                </c:pt>
              </c:numCache>
            </c:numRef>
          </c:xVal>
          <c:yVal>
            <c:numRef>
              <c:f>'DIN results'!$G$135:$G$143</c:f>
              <c:numCache>
                <c:formatCode>General</c:formatCode>
                <c:ptCount val="9"/>
                <c:pt idx="0">
                  <c:v>5.1499999999999997E-2</c:v>
                </c:pt>
                <c:pt idx="1">
                  <c:v>5.6500000000000002E-2</c:v>
                </c:pt>
                <c:pt idx="2">
                  <c:v>6.0999999999999999E-2</c:v>
                </c:pt>
                <c:pt idx="3">
                  <c:v>7.0999999999999994E-2</c:v>
                </c:pt>
                <c:pt idx="4">
                  <c:v>8.9499999999999996E-2</c:v>
                </c:pt>
                <c:pt idx="5">
                  <c:v>0.13200000000000001</c:v>
                </c:pt>
                <c:pt idx="7">
                  <c:v>0.45500000000000002</c:v>
                </c:pt>
                <c:pt idx="8">
                  <c:v>0.82750000000000001</c:v>
                </c:pt>
              </c:numCache>
            </c:numRef>
          </c:yVal>
          <c:smooth val="0"/>
          <c:extLst>
            <c:ext xmlns:c16="http://schemas.microsoft.com/office/drawing/2014/chart" uri="{C3380CC4-5D6E-409C-BE32-E72D297353CC}">
              <c16:uniqueId val="{00000001-5C12-0C44-8417-B87AC7C5B492}"/>
            </c:ext>
          </c:extLst>
        </c:ser>
        <c:dLbls>
          <c:showLegendKey val="0"/>
          <c:showVal val="0"/>
          <c:showCatName val="0"/>
          <c:showSerName val="0"/>
          <c:showPercent val="0"/>
          <c:showBubbleSize val="0"/>
        </c:dLbls>
        <c:axId val="167909248"/>
        <c:axId val="167910784"/>
      </c:scatterChart>
      <c:valAx>
        <c:axId val="167909248"/>
        <c:scaling>
          <c:orientation val="minMax"/>
        </c:scaling>
        <c:delete val="0"/>
        <c:axPos val="b"/>
        <c:numFmt formatCode="General" sourceLinked="1"/>
        <c:majorTickMark val="out"/>
        <c:minorTickMark val="none"/>
        <c:tickLblPos val="nextTo"/>
        <c:crossAx val="167910784"/>
        <c:crosses val="autoZero"/>
        <c:crossBetween val="midCat"/>
      </c:valAx>
      <c:valAx>
        <c:axId val="167910784"/>
        <c:scaling>
          <c:orientation val="minMax"/>
        </c:scaling>
        <c:delete val="0"/>
        <c:axPos val="l"/>
        <c:majorGridlines/>
        <c:numFmt formatCode="General" sourceLinked="1"/>
        <c:majorTickMark val="out"/>
        <c:minorTickMark val="none"/>
        <c:tickLblPos val="nextTo"/>
        <c:crossAx val="1679092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yVal>
            <c:numRef>
              <c:f>'DIN results'!$S$71:$S$130</c:f>
              <c:numCache>
                <c:formatCode>General</c:formatCode>
                <c:ptCount val="60"/>
                <c:pt idx="0">
                  <c:v>0.58081334723670486</c:v>
                </c:pt>
                <c:pt idx="1">
                  <c:v>0.88842544316996874</c:v>
                </c:pt>
                <c:pt idx="2">
                  <c:v>2.3534932221063611</c:v>
                </c:pt>
                <c:pt idx="3">
                  <c:v>0.82064650677789353</c:v>
                </c:pt>
                <c:pt idx="4">
                  <c:v>3.3368091762252292E-2</c:v>
                </c:pt>
                <c:pt idx="5">
                  <c:v>2.0928050052137643</c:v>
                </c:pt>
                <c:pt idx="6">
                  <c:v>1.5401459854014599</c:v>
                </c:pt>
                <c:pt idx="7">
                  <c:v>0.33837330552659012</c:v>
                </c:pt>
                <c:pt idx="8">
                  <c:v>0.47653806047966624</c:v>
                </c:pt>
                <c:pt idx="9">
                  <c:v>0.30448383733055268</c:v>
                </c:pt>
                <c:pt idx="10">
                  <c:v>4.3795620437956158E-2</c:v>
                </c:pt>
                <c:pt idx="11">
                  <c:v>7.2992700729926927E-3</c:v>
                </c:pt>
                <c:pt idx="12">
                  <c:v>0.39572471324296138</c:v>
                </c:pt>
                <c:pt idx="13">
                  <c:v>0.98488008342022948</c:v>
                </c:pt>
                <c:pt idx="14">
                  <c:v>0.11157455683003123</c:v>
                </c:pt>
                <c:pt idx="15">
                  <c:v>0.43743482794577687</c:v>
                </c:pt>
                <c:pt idx="16">
                  <c:v>1.0578727841501563</c:v>
                </c:pt>
                <c:pt idx="17">
                  <c:v>0.12982273201251299</c:v>
                </c:pt>
                <c:pt idx="18">
                  <c:v>0.86757038581856094</c:v>
                </c:pt>
                <c:pt idx="19">
                  <c:v>0.17935349322210628</c:v>
                </c:pt>
                <c:pt idx="20">
                  <c:v>1.4593326381647549</c:v>
                </c:pt>
                <c:pt idx="21">
                  <c:v>0.30709071949947869</c:v>
                </c:pt>
                <c:pt idx="22">
                  <c:v>1.7726798748696489E-2</c:v>
                </c:pt>
                <c:pt idx="23">
                  <c:v>-5.7351407716371419E-3</c:v>
                </c:pt>
                <c:pt idx="24">
                  <c:v>0.83368091762252339</c:v>
                </c:pt>
                <c:pt idx="25">
                  <c:v>0.72158498435870699</c:v>
                </c:pt>
                <c:pt idx="26">
                  <c:v>7.5078206465067757E-2</c:v>
                </c:pt>
                <c:pt idx="27">
                  <c:v>0.76590198123044839</c:v>
                </c:pt>
                <c:pt idx="28">
                  <c:v>2.0855057351407591E-3</c:v>
                </c:pt>
                <c:pt idx="29">
                  <c:v>0.77111574556830031</c:v>
                </c:pt>
                <c:pt idx="30">
                  <c:v>0.32012513034410833</c:v>
                </c:pt>
                <c:pt idx="31">
                  <c:v>0.42179353493222105</c:v>
                </c:pt>
                <c:pt idx="32">
                  <c:v>1.4045881126173099</c:v>
                </c:pt>
                <c:pt idx="33">
                  <c:v>9.0719499478623566E-2</c:v>
                </c:pt>
                <c:pt idx="34">
                  <c:v>8.0291970802919693E-2</c:v>
                </c:pt>
                <c:pt idx="35">
                  <c:v>0.20020855057351403</c:v>
                </c:pt>
                <c:pt idx="36">
                  <c:v>0.73201251303441084</c:v>
                </c:pt>
                <c:pt idx="37">
                  <c:v>1.1543274244004171</c:v>
                </c:pt>
                <c:pt idx="38">
                  <c:v>0.30448383733055268</c:v>
                </c:pt>
                <c:pt idx="39">
                  <c:v>0.76590198123044839</c:v>
                </c:pt>
                <c:pt idx="40">
                  <c:v>0.10636079249217929</c:v>
                </c:pt>
                <c:pt idx="41">
                  <c:v>0.99791449426485934</c:v>
                </c:pt>
                <c:pt idx="42">
                  <c:v>0.37747653806047965</c:v>
                </c:pt>
                <c:pt idx="43">
                  <c:v>1.3602711157455685</c:v>
                </c:pt>
                <c:pt idx="44">
                  <c:v>2.8331595411887376</c:v>
                </c:pt>
                <c:pt idx="45">
                  <c:v>0.52867570385818552</c:v>
                </c:pt>
                <c:pt idx="46">
                  <c:v>6.7257559958289859E-2</c:v>
                </c:pt>
                <c:pt idx="47">
                  <c:v>-1.3555787278415042E-2</c:v>
                </c:pt>
                <c:pt idx="48">
                  <c:v>0.66162669447340972</c:v>
                </c:pt>
                <c:pt idx="49">
                  <c:v>2.9348279457768505</c:v>
                </c:pt>
                <c:pt idx="50">
                  <c:v>2.5594369134515116</c:v>
                </c:pt>
                <c:pt idx="51">
                  <c:v>0.28102189781021902</c:v>
                </c:pt>
                <c:pt idx="52">
                  <c:v>1.2507820646506778</c:v>
                </c:pt>
                <c:pt idx="53">
                  <c:v>1.3263816475495309</c:v>
                </c:pt>
                <c:pt idx="54">
                  <c:v>0.20542231491136595</c:v>
                </c:pt>
                <c:pt idx="55">
                  <c:v>0.50260688216892591</c:v>
                </c:pt>
                <c:pt idx="56">
                  <c:v>0.37747653806047965</c:v>
                </c:pt>
                <c:pt idx="57">
                  <c:v>1.5896767466110533</c:v>
                </c:pt>
                <c:pt idx="58">
                  <c:v>0.11939520333680913</c:v>
                </c:pt>
                <c:pt idx="59">
                  <c:v>0.32012513034410833</c:v>
                </c:pt>
              </c:numCache>
            </c:numRef>
          </c:yVal>
          <c:smooth val="0"/>
          <c:extLst>
            <c:ext xmlns:c16="http://schemas.microsoft.com/office/drawing/2014/chart" uri="{C3380CC4-5D6E-409C-BE32-E72D297353CC}">
              <c16:uniqueId val="{00000000-23AC-8843-9756-2A7ED798803B}"/>
            </c:ext>
          </c:extLst>
        </c:ser>
        <c:dLbls>
          <c:showLegendKey val="0"/>
          <c:showVal val="0"/>
          <c:showCatName val="0"/>
          <c:showSerName val="0"/>
          <c:showPercent val="0"/>
          <c:showBubbleSize val="0"/>
        </c:dLbls>
        <c:axId val="176495616"/>
        <c:axId val="176494080"/>
      </c:scatterChart>
      <c:valAx>
        <c:axId val="176495616"/>
        <c:scaling>
          <c:orientation val="minMax"/>
        </c:scaling>
        <c:delete val="0"/>
        <c:axPos val="b"/>
        <c:majorTickMark val="out"/>
        <c:minorTickMark val="none"/>
        <c:tickLblPos val="nextTo"/>
        <c:crossAx val="176494080"/>
        <c:crosses val="autoZero"/>
        <c:crossBetween val="midCat"/>
      </c:valAx>
      <c:valAx>
        <c:axId val="176494080"/>
        <c:scaling>
          <c:orientation val="minMax"/>
        </c:scaling>
        <c:delete val="0"/>
        <c:axPos val="l"/>
        <c:majorGridlines/>
        <c:numFmt formatCode="General" sourceLinked="1"/>
        <c:majorTickMark val="out"/>
        <c:minorTickMark val="none"/>
        <c:tickLblPos val="nextTo"/>
        <c:crossAx val="1764956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 results'!$N$2</c:f>
              <c:strCache>
                <c:ptCount val="1"/>
                <c:pt idx="0">
                  <c:v>abs</c:v>
                </c:pt>
              </c:strCache>
            </c:strRef>
          </c:tx>
          <c:spPr>
            <a:ln w="28575">
              <a:noFill/>
            </a:ln>
          </c:spPr>
          <c:trendline>
            <c:trendlineType val="linear"/>
            <c:dispRSqr val="1"/>
            <c:dispEq val="1"/>
            <c:trendlineLbl>
              <c:layout>
                <c:manualLayout>
                  <c:x val="0.38724168853893265"/>
                  <c:y val="-0.16901829979585886"/>
                </c:manualLayout>
              </c:layout>
              <c:numFmt formatCode="General" sourceLinked="0"/>
            </c:trendlineLbl>
          </c:trendline>
          <c:xVal>
            <c:numRef>
              <c:f>'P results'!$M$3:$M$10</c:f>
              <c:numCache>
                <c:formatCode>General</c:formatCode>
                <c:ptCount val="8"/>
                <c:pt idx="0">
                  <c:v>0</c:v>
                </c:pt>
                <c:pt idx="1">
                  <c:v>0.01</c:v>
                </c:pt>
                <c:pt idx="2">
                  <c:v>0.02</c:v>
                </c:pt>
                <c:pt idx="3">
                  <c:v>0.05</c:v>
                </c:pt>
                <c:pt idx="4">
                  <c:v>0.1</c:v>
                </c:pt>
                <c:pt idx="5">
                  <c:v>0.2</c:v>
                </c:pt>
                <c:pt idx="6">
                  <c:v>0.5</c:v>
                </c:pt>
                <c:pt idx="7">
                  <c:v>1</c:v>
                </c:pt>
              </c:numCache>
            </c:numRef>
          </c:xVal>
          <c:yVal>
            <c:numRef>
              <c:f>'P results'!$N$3:$N$10</c:f>
              <c:numCache>
                <c:formatCode>General</c:formatCode>
                <c:ptCount val="8"/>
                <c:pt idx="0">
                  <c:v>6.0999999999999999E-2</c:v>
                </c:pt>
                <c:pt idx="1">
                  <c:v>6.7000000000000004E-2</c:v>
                </c:pt>
                <c:pt idx="2">
                  <c:v>7.3499999999999996E-2</c:v>
                </c:pt>
                <c:pt idx="3">
                  <c:v>8.7999999999999995E-2</c:v>
                </c:pt>
                <c:pt idx="4">
                  <c:v>0.11650000000000001</c:v>
                </c:pt>
                <c:pt idx="5">
                  <c:v>0.17349999999999999</c:v>
                </c:pt>
                <c:pt idx="6">
                  <c:v>0.34699999999999998</c:v>
                </c:pt>
                <c:pt idx="7">
                  <c:v>0.622</c:v>
                </c:pt>
              </c:numCache>
            </c:numRef>
          </c:yVal>
          <c:smooth val="0"/>
          <c:extLst>
            <c:ext xmlns:c16="http://schemas.microsoft.com/office/drawing/2014/chart" uri="{C3380CC4-5D6E-409C-BE32-E72D297353CC}">
              <c16:uniqueId val="{00000001-E179-6749-8AE8-A4A6F2B8A296}"/>
            </c:ext>
          </c:extLst>
        </c:ser>
        <c:dLbls>
          <c:showLegendKey val="0"/>
          <c:showVal val="0"/>
          <c:showCatName val="0"/>
          <c:showSerName val="0"/>
          <c:showPercent val="0"/>
          <c:showBubbleSize val="0"/>
        </c:dLbls>
        <c:axId val="167682816"/>
        <c:axId val="167684352"/>
      </c:scatterChart>
      <c:valAx>
        <c:axId val="167682816"/>
        <c:scaling>
          <c:orientation val="minMax"/>
        </c:scaling>
        <c:delete val="0"/>
        <c:axPos val="b"/>
        <c:numFmt formatCode="General" sourceLinked="1"/>
        <c:majorTickMark val="out"/>
        <c:minorTickMark val="none"/>
        <c:tickLblPos val="nextTo"/>
        <c:crossAx val="167684352"/>
        <c:crosses val="autoZero"/>
        <c:crossBetween val="midCat"/>
      </c:valAx>
      <c:valAx>
        <c:axId val="167684352"/>
        <c:scaling>
          <c:orientation val="minMax"/>
        </c:scaling>
        <c:delete val="0"/>
        <c:axPos val="l"/>
        <c:majorGridlines/>
        <c:numFmt formatCode="General" sourceLinked="1"/>
        <c:majorTickMark val="out"/>
        <c:minorTickMark val="none"/>
        <c:tickLblPos val="nextTo"/>
        <c:crossAx val="1676828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 results'!$K$71</c:f>
              <c:strCache>
                <c:ptCount val="1"/>
                <c:pt idx="0">
                  <c:v>abs</c:v>
                </c:pt>
              </c:strCache>
            </c:strRef>
          </c:tx>
          <c:spPr>
            <a:ln w="28575">
              <a:noFill/>
            </a:ln>
          </c:spPr>
          <c:trendline>
            <c:trendlineType val="linear"/>
            <c:dispRSqr val="1"/>
            <c:dispEq val="1"/>
            <c:trendlineLbl>
              <c:layout>
                <c:manualLayout>
                  <c:x val="0.39279724409448818"/>
                  <c:y val="-0.16239610673665791"/>
                </c:manualLayout>
              </c:layout>
              <c:numFmt formatCode="General" sourceLinked="0"/>
            </c:trendlineLbl>
          </c:trendline>
          <c:xVal>
            <c:numRef>
              <c:f>'P results'!$J$72:$J$79</c:f>
              <c:numCache>
                <c:formatCode>General</c:formatCode>
                <c:ptCount val="8"/>
                <c:pt idx="0">
                  <c:v>0</c:v>
                </c:pt>
                <c:pt idx="1">
                  <c:v>0.01</c:v>
                </c:pt>
                <c:pt idx="2">
                  <c:v>0.02</c:v>
                </c:pt>
                <c:pt idx="3">
                  <c:v>0.05</c:v>
                </c:pt>
                <c:pt idx="4">
                  <c:v>0.1</c:v>
                </c:pt>
                <c:pt idx="5">
                  <c:v>0.2</c:v>
                </c:pt>
                <c:pt idx="6">
                  <c:v>0.5</c:v>
                </c:pt>
                <c:pt idx="7">
                  <c:v>1</c:v>
                </c:pt>
              </c:numCache>
            </c:numRef>
          </c:xVal>
          <c:yVal>
            <c:numRef>
              <c:f>'P results'!$K$72:$K$79</c:f>
              <c:numCache>
                <c:formatCode>General</c:formatCode>
                <c:ptCount val="8"/>
                <c:pt idx="0">
                  <c:v>6.1499999999999999E-2</c:v>
                </c:pt>
                <c:pt idx="1">
                  <c:v>6.5500000000000003E-2</c:v>
                </c:pt>
                <c:pt idx="2">
                  <c:v>6.9000000000000006E-2</c:v>
                </c:pt>
                <c:pt idx="3">
                  <c:v>8.6999999999999994E-2</c:v>
                </c:pt>
                <c:pt idx="4">
                  <c:v>0.114</c:v>
                </c:pt>
                <c:pt idx="5">
                  <c:v>0.17100000000000001</c:v>
                </c:pt>
                <c:pt idx="6">
                  <c:v>0.33050000000000002</c:v>
                </c:pt>
                <c:pt idx="7">
                  <c:v>0.54</c:v>
                </c:pt>
              </c:numCache>
            </c:numRef>
          </c:yVal>
          <c:smooth val="0"/>
          <c:extLst>
            <c:ext xmlns:c16="http://schemas.microsoft.com/office/drawing/2014/chart" uri="{C3380CC4-5D6E-409C-BE32-E72D297353CC}">
              <c16:uniqueId val="{00000001-4C31-E44B-9F62-C7DB2B92498F}"/>
            </c:ext>
          </c:extLst>
        </c:ser>
        <c:dLbls>
          <c:showLegendKey val="0"/>
          <c:showVal val="0"/>
          <c:showCatName val="0"/>
          <c:showSerName val="0"/>
          <c:showPercent val="0"/>
          <c:showBubbleSize val="0"/>
        </c:dLbls>
        <c:axId val="167717888"/>
        <c:axId val="167719680"/>
      </c:scatterChart>
      <c:valAx>
        <c:axId val="167717888"/>
        <c:scaling>
          <c:orientation val="minMax"/>
        </c:scaling>
        <c:delete val="0"/>
        <c:axPos val="b"/>
        <c:numFmt formatCode="General" sourceLinked="1"/>
        <c:majorTickMark val="out"/>
        <c:minorTickMark val="none"/>
        <c:tickLblPos val="nextTo"/>
        <c:crossAx val="167719680"/>
        <c:crosses val="autoZero"/>
        <c:crossBetween val="midCat"/>
      </c:valAx>
      <c:valAx>
        <c:axId val="167719680"/>
        <c:scaling>
          <c:orientation val="minMax"/>
        </c:scaling>
        <c:delete val="0"/>
        <c:axPos val="l"/>
        <c:majorGridlines/>
        <c:numFmt formatCode="General" sourceLinked="1"/>
        <c:majorTickMark val="out"/>
        <c:minorTickMark val="none"/>
        <c:tickLblPos val="nextTo"/>
        <c:crossAx val="1677178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 results'!$AH$71</c:f>
              <c:strCache>
                <c:ptCount val="1"/>
                <c:pt idx="0">
                  <c:v>abs</c:v>
                </c:pt>
              </c:strCache>
            </c:strRef>
          </c:tx>
          <c:spPr>
            <a:ln w="28575">
              <a:noFill/>
            </a:ln>
          </c:spPr>
          <c:trendline>
            <c:trendlineType val="linear"/>
            <c:dispRSqr val="1"/>
            <c:dispEq val="1"/>
            <c:trendlineLbl>
              <c:layout>
                <c:manualLayout>
                  <c:x val="0.28426968503937006"/>
                  <c:y val="-0.1901738845144357"/>
                </c:manualLayout>
              </c:layout>
              <c:numFmt formatCode="General" sourceLinked="0"/>
            </c:trendlineLbl>
          </c:trendline>
          <c:xVal>
            <c:numRef>
              <c:f>'P results'!$AG$72:$AG$78</c:f>
              <c:numCache>
                <c:formatCode>General</c:formatCode>
                <c:ptCount val="7"/>
                <c:pt idx="0">
                  <c:v>0</c:v>
                </c:pt>
                <c:pt idx="1">
                  <c:v>0.01</c:v>
                </c:pt>
                <c:pt idx="2">
                  <c:v>0.02</c:v>
                </c:pt>
                <c:pt idx="3">
                  <c:v>0.05</c:v>
                </c:pt>
                <c:pt idx="4">
                  <c:v>0.1</c:v>
                </c:pt>
                <c:pt idx="5">
                  <c:v>0.2</c:v>
                </c:pt>
                <c:pt idx="6">
                  <c:v>0.5</c:v>
                </c:pt>
              </c:numCache>
            </c:numRef>
          </c:xVal>
          <c:yVal>
            <c:numRef>
              <c:f>'P results'!$AH$72:$AH$78</c:f>
              <c:numCache>
                <c:formatCode>General</c:formatCode>
                <c:ptCount val="7"/>
                <c:pt idx="0">
                  <c:v>6.1499999999999999E-2</c:v>
                </c:pt>
                <c:pt idx="1">
                  <c:v>6.5500000000000003E-2</c:v>
                </c:pt>
                <c:pt idx="2">
                  <c:v>6.9000000000000006E-2</c:v>
                </c:pt>
                <c:pt idx="3">
                  <c:v>8.6999999999999994E-2</c:v>
                </c:pt>
                <c:pt idx="4">
                  <c:v>0.114</c:v>
                </c:pt>
                <c:pt idx="5">
                  <c:v>0.17100000000000001</c:v>
                </c:pt>
                <c:pt idx="6">
                  <c:v>0.33050000000000002</c:v>
                </c:pt>
              </c:numCache>
            </c:numRef>
          </c:yVal>
          <c:smooth val="0"/>
          <c:extLst>
            <c:ext xmlns:c16="http://schemas.microsoft.com/office/drawing/2014/chart" uri="{C3380CC4-5D6E-409C-BE32-E72D297353CC}">
              <c16:uniqueId val="{00000001-CA75-4C4A-8A28-DCE651929842}"/>
            </c:ext>
          </c:extLst>
        </c:ser>
        <c:dLbls>
          <c:showLegendKey val="0"/>
          <c:showVal val="0"/>
          <c:showCatName val="0"/>
          <c:showSerName val="0"/>
          <c:showPercent val="0"/>
          <c:showBubbleSize val="0"/>
        </c:dLbls>
        <c:axId val="167765504"/>
        <c:axId val="167767040"/>
      </c:scatterChart>
      <c:valAx>
        <c:axId val="167765504"/>
        <c:scaling>
          <c:orientation val="minMax"/>
        </c:scaling>
        <c:delete val="0"/>
        <c:axPos val="b"/>
        <c:numFmt formatCode="General" sourceLinked="1"/>
        <c:majorTickMark val="out"/>
        <c:minorTickMark val="none"/>
        <c:tickLblPos val="nextTo"/>
        <c:crossAx val="167767040"/>
        <c:crosses val="autoZero"/>
        <c:crossBetween val="midCat"/>
      </c:valAx>
      <c:valAx>
        <c:axId val="167767040"/>
        <c:scaling>
          <c:orientation val="minMax"/>
        </c:scaling>
        <c:delete val="0"/>
        <c:axPos val="l"/>
        <c:majorGridlines/>
        <c:numFmt formatCode="General" sourceLinked="1"/>
        <c:majorTickMark val="out"/>
        <c:minorTickMark val="none"/>
        <c:tickLblPos val="nextTo"/>
        <c:crossAx val="1677655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 results'!$AY$71</c:f>
              <c:strCache>
                <c:ptCount val="1"/>
                <c:pt idx="0">
                  <c:v>abs</c:v>
                </c:pt>
              </c:strCache>
            </c:strRef>
          </c:tx>
          <c:spPr>
            <a:ln w="28575">
              <a:noFill/>
            </a:ln>
          </c:spPr>
          <c:trendline>
            <c:trendlineType val="linear"/>
            <c:dispRSqr val="1"/>
            <c:dispEq val="1"/>
            <c:trendlineLbl>
              <c:layout>
                <c:manualLayout>
                  <c:x val="0.37696872265966752"/>
                  <c:y val="-0.18091462525517643"/>
                </c:manualLayout>
              </c:layout>
              <c:numFmt formatCode="General" sourceLinked="0"/>
            </c:trendlineLbl>
          </c:trendline>
          <c:xVal>
            <c:numRef>
              <c:f>'P results'!$AX$72:$AX$79</c:f>
              <c:numCache>
                <c:formatCode>General</c:formatCode>
                <c:ptCount val="8"/>
                <c:pt idx="0">
                  <c:v>0</c:v>
                </c:pt>
                <c:pt idx="1">
                  <c:v>0.01</c:v>
                </c:pt>
                <c:pt idx="2">
                  <c:v>0.02</c:v>
                </c:pt>
                <c:pt idx="3">
                  <c:v>0.05</c:v>
                </c:pt>
                <c:pt idx="4">
                  <c:v>0.1</c:v>
                </c:pt>
                <c:pt idx="5">
                  <c:v>0.2</c:v>
                </c:pt>
                <c:pt idx="6">
                  <c:v>0.5</c:v>
                </c:pt>
                <c:pt idx="7">
                  <c:v>1</c:v>
                </c:pt>
              </c:numCache>
            </c:numRef>
          </c:xVal>
          <c:yVal>
            <c:numRef>
              <c:f>'P results'!$AY$72:$AY$79</c:f>
              <c:numCache>
                <c:formatCode>General</c:formatCode>
                <c:ptCount val="8"/>
                <c:pt idx="0">
                  <c:v>0.06</c:v>
                </c:pt>
                <c:pt idx="1">
                  <c:v>6.2E-2</c:v>
                </c:pt>
                <c:pt idx="2">
                  <c:v>6.9000000000000006E-2</c:v>
                </c:pt>
                <c:pt idx="3">
                  <c:v>8.6999999999999994E-2</c:v>
                </c:pt>
                <c:pt idx="4">
                  <c:v>0.111</c:v>
                </c:pt>
                <c:pt idx="5">
                  <c:v>0.16900000000000001</c:v>
                </c:pt>
                <c:pt idx="6">
                  <c:v>0.33400000000000002</c:v>
                </c:pt>
                <c:pt idx="7">
                  <c:v>0.53600000000000003</c:v>
                </c:pt>
              </c:numCache>
            </c:numRef>
          </c:yVal>
          <c:smooth val="0"/>
          <c:extLst>
            <c:ext xmlns:c16="http://schemas.microsoft.com/office/drawing/2014/chart" uri="{C3380CC4-5D6E-409C-BE32-E72D297353CC}">
              <c16:uniqueId val="{00000001-E92F-264D-8C52-61D5E6CDE734}"/>
            </c:ext>
          </c:extLst>
        </c:ser>
        <c:dLbls>
          <c:showLegendKey val="0"/>
          <c:showVal val="0"/>
          <c:showCatName val="0"/>
          <c:showSerName val="0"/>
          <c:showPercent val="0"/>
          <c:showBubbleSize val="0"/>
        </c:dLbls>
        <c:axId val="167792640"/>
        <c:axId val="167794176"/>
      </c:scatterChart>
      <c:valAx>
        <c:axId val="167792640"/>
        <c:scaling>
          <c:orientation val="minMax"/>
        </c:scaling>
        <c:delete val="0"/>
        <c:axPos val="b"/>
        <c:numFmt formatCode="General" sourceLinked="1"/>
        <c:majorTickMark val="out"/>
        <c:minorTickMark val="none"/>
        <c:tickLblPos val="nextTo"/>
        <c:crossAx val="167794176"/>
        <c:crosses val="autoZero"/>
        <c:crossBetween val="midCat"/>
      </c:valAx>
      <c:valAx>
        <c:axId val="167794176"/>
        <c:scaling>
          <c:orientation val="minMax"/>
        </c:scaling>
        <c:delete val="0"/>
        <c:axPos val="l"/>
        <c:majorGridlines/>
        <c:numFmt formatCode="General" sourceLinked="1"/>
        <c:majorTickMark val="out"/>
        <c:minorTickMark val="none"/>
        <c:tickLblPos val="nextTo"/>
        <c:crossAx val="1677926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 results'!$BG$71</c:f>
              <c:strCache>
                <c:ptCount val="1"/>
                <c:pt idx="0">
                  <c:v>root P redo</c:v>
                </c:pt>
              </c:strCache>
            </c:strRef>
          </c:tx>
          <c:spPr>
            <a:ln w="28575">
              <a:noFill/>
            </a:ln>
          </c:spPr>
          <c:trendline>
            <c:trendlineType val="linear"/>
            <c:dispRSqr val="1"/>
            <c:dispEq val="1"/>
            <c:trendlineLbl>
              <c:layout>
                <c:manualLayout>
                  <c:x val="0.36641710411198603"/>
                  <c:y val="-0.15313684747739867"/>
                </c:manualLayout>
              </c:layout>
              <c:numFmt formatCode="General" sourceLinked="0"/>
            </c:trendlineLbl>
          </c:trendline>
          <c:xVal>
            <c:numRef>
              <c:f>'P results'!$BF$72:$BF$131</c:f>
              <c:numCache>
                <c:formatCode>General</c:formatCode>
                <c:ptCount val="60"/>
                <c:pt idx="0">
                  <c:v>0.1996592771032043</c:v>
                </c:pt>
                <c:pt idx="1">
                  <c:v>0.19908022648687262</c:v>
                </c:pt>
                <c:pt idx="2">
                  <c:v>0.27908808484348052</c:v>
                </c:pt>
                <c:pt idx="3">
                  <c:v>0.19397154710180886</c:v>
                </c:pt>
                <c:pt idx="4">
                  <c:v>0.21561543107193182</c:v>
                </c:pt>
                <c:pt idx="5">
                  <c:v>0.14539429959973105</c:v>
                </c:pt>
                <c:pt idx="6">
                  <c:v>0.2178521815873159</c:v>
                </c:pt>
                <c:pt idx="7">
                  <c:v>0.18684706865590731</c:v>
                </c:pt>
                <c:pt idx="8">
                  <c:v>0.22219147758716098</c:v>
                </c:pt>
                <c:pt idx="9">
                  <c:v>0.13365725595941419</c:v>
                </c:pt>
                <c:pt idx="10">
                  <c:v>0.23456793489043548</c:v>
                </c:pt>
                <c:pt idx="11">
                  <c:v>0.1653260171720129</c:v>
                </c:pt>
                <c:pt idx="12">
                  <c:v>0.25962984987070059</c:v>
                </c:pt>
                <c:pt idx="13">
                  <c:v>0.17099873214981126</c:v>
                </c:pt>
                <c:pt idx="14">
                  <c:v>0.23411910419951049</c:v>
                </c:pt>
                <c:pt idx="15">
                  <c:v>0.192143168909297</c:v>
                </c:pt>
                <c:pt idx="16">
                  <c:v>0.21605191892607273</c:v>
                </c:pt>
                <c:pt idx="17">
                  <c:v>0.14461328825567768</c:v>
                </c:pt>
                <c:pt idx="18">
                  <c:v>0.2412532930054396</c:v>
                </c:pt>
                <c:pt idx="19">
                  <c:v>0.15271225833502267</c:v>
                </c:pt>
                <c:pt idx="20">
                  <c:v>0.26025657585983092</c:v>
                </c:pt>
                <c:pt idx="21">
                  <c:v>0.14830626341417708</c:v>
                </c:pt>
                <c:pt idx="22">
                  <c:v>0.2496500220769784</c:v>
                </c:pt>
                <c:pt idx="23">
                  <c:v>0.16523045300023717</c:v>
                </c:pt>
                <c:pt idx="24">
                  <c:v>0.25524519655530631</c:v>
                </c:pt>
                <c:pt idx="25">
                  <c:v>0.16025049782659079</c:v>
                </c:pt>
                <c:pt idx="26">
                  <c:v>0.21382572914381176</c:v>
                </c:pt>
                <c:pt idx="27">
                  <c:v>0.19146812727332924</c:v>
                </c:pt>
                <c:pt idx="28">
                  <c:v>0.23383491009390289</c:v>
                </c:pt>
                <c:pt idx="29">
                  <c:v>0.20514442207856703</c:v>
                </c:pt>
                <c:pt idx="30">
                  <c:v>0.22012609692465807</c:v>
                </c:pt>
                <c:pt idx="31">
                  <c:v>0.17644104048449957</c:v>
                </c:pt>
                <c:pt idx="32">
                  <c:v>0.23005923534055944</c:v>
                </c:pt>
                <c:pt idx="33">
                  <c:v>0.16691875336827508</c:v>
                </c:pt>
                <c:pt idx="34">
                  <c:v>0.23233720715735104</c:v>
                </c:pt>
                <c:pt idx="35">
                  <c:v>0.12596244517923669</c:v>
                </c:pt>
                <c:pt idx="36">
                  <c:v>0.24395349753041118</c:v>
                </c:pt>
                <c:pt idx="37">
                  <c:v>0.19695598832289479</c:v>
                </c:pt>
                <c:pt idx="38">
                  <c:v>0.22438703493859372</c:v>
                </c:pt>
                <c:pt idx="39">
                  <c:v>0.17956120116276805</c:v>
                </c:pt>
                <c:pt idx="40">
                  <c:v>0.2183408468906386</c:v>
                </c:pt>
                <c:pt idx="41">
                  <c:v>0.20402341430764592</c:v>
                </c:pt>
                <c:pt idx="42">
                  <c:v>0.24572215470659506</c:v>
                </c:pt>
                <c:pt idx="43">
                  <c:v>0.15435255737859016</c:v>
                </c:pt>
                <c:pt idx="44">
                  <c:v>0.22007063557496678</c:v>
                </c:pt>
                <c:pt idx="45">
                  <c:v>0.1785991680917845</c:v>
                </c:pt>
                <c:pt idx="46">
                  <c:v>0.21133774759146706</c:v>
                </c:pt>
                <c:pt idx="47">
                  <c:v>0.13166487808556329</c:v>
                </c:pt>
                <c:pt idx="48">
                  <c:v>0.21489424293711473</c:v>
                </c:pt>
                <c:pt idx="49">
                  <c:v>0.16523045300023717</c:v>
                </c:pt>
                <c:pt idx="50">
                  <c:v>0.27136222096484242</c:v>
                </c:pt>
                <c:pt idx="51">
                  <c:v>0.14256979876791717</c:v>
                </c:pt>
                <c:pt idx="52">
                  <c:v>0.24257372269072797</c:v>
                </c:pt>
                <c:pt idx="53">
                  <c:v>0.19726959901136351</c:v>
                </c:pt>
                <c:pt idx="54">
                  <c:v>0.2114136318814461</c:v>
                </c:pt>
                <c:pt idx="55">
                  <c:v>0.15095831819502059</c:v>
                </c:pt>
                <c:pt idx="56">
                  <c:v>0.22048750568525421</c:v>
                </c:pt>
                <c:pt idx="57">
                  <c:v>0.14891771133836307</c:v>
                </c:pt>
                <c:pt idx="58">
                  <c:v>0.19444123483968531</c:v>
                </c:pt>
                <c:pt idx="59">
                  <c:v>0.14462729709886823</c:v>
                </c:pt>
              </c:numCache>
            </c:numRef>
          </c:xVal>
          <c:yVal>
            <c:numRef>
              <c:f>'P results'!$BG$72:$BG$131</c:f>
              <c:numCache>
                <c:formatCode>General</c:formatCode>
                <c:ptCount val="60"/>
                <c:pt idx="0">
                  <c:v>0.22940260243163305</c:v>
                </c:pt>
                <c:pt idx="1">
                  <c:v>0.22526462412435314</c:v>
                </c:pt>
                <c:pt idx="2">
                  <c:v>0.30657027262663961</c:v>
                </c:pt>
                <c:pt idx="3">
                  <c:v>0.22474330459728792</c:v>
                </c:pt>
                <c:pt idx="4">
                  <c:v>0.24612050042734407</c:v>
                </c:pt>
                <c:pt idx="5">
                  <c:v>0.16366738024639196</c:v>
                </c:pt>
                <c:pt idx="6">
                  <c:v>0.25185581917840755</c:v>
                </c:pt>
                <c:pt idx="7">
                  <c:v>0.21003488826100281</c:v>
                </c:pt>
                <c:pt idx="8">
                  <c:v>0.2484350662709025</c:v>
                </c:pt>
                <c:pt idx="9">
                  <c:v>0.14800647180815873</c:v>
                </c:pt>
                <c:pt idx="10">
                  <c:v>0.27255232406719615</c:v>
                </c:pt>
                <c:pt idx="11">
                  <c:v>0.18419438732719368</c:v>
                </c:pt>
                <c:pt idx="12">
                  <c:v>0.28409345008631259</c:v>
                </c:pt>
                <c:pt idx="13">
                  <c:v>0.19216765770972724</c:v>
                </c:pt>
                <c:pt idx="14">
                  <c:v>0.26945729948017055</c:v>
                </c:pt>
                <c:pt idx="15">
                  <c:v>0.21851820982405329</c:v>
                </c:pt>
                <c:pt idx="16">
                  <c:v>0.24794856475175253</c:v>
                </c:pt>
                <c:pt idx="17">
                  <c:v>0.15745922851086858</c:v>
                </c:pt>
                <c:pt idx="18">
                  <c:v>0.26887250510426414</c:v>
                </c:pt>
                <c:pt idx="19">
                  <c:v>0.16922151699118987</c:v>
                </c:pt>
                <c:pt idx="20">
                  <c:v>0.28917890823118453</c:v>
                </c:pt>
                <c:pt idx="21">
                  <c:v>0.1644119212520776</c:v>
                </c:pt>
                <c:pt idx="22">
                  <c:v>0.26999867452197329</c:v>
                </c:pt>
                <c:pt idx="23">
                  <c:v>0.17814026941453617</c:v>
                </c:pt>
                <c:pt idx="24">
                  <c:v>0.27852494845424614</c:v>
                </c:pt>
                <c:pt idx="25">
                  <c:v>0.17523037889217691</c:v>
                </c:pt>
                <c:pt idx="26">
                  <c:v>0.23736933294545015</c:v>
                </c:pt>
                <c:pt idx="27">
                  <c:v>0.21170217014693463</c:v>
                </c:pt>
                <c:pt idx="28">
                  <c:v>0.2730410918026635</c:v>
                </c:pt>
                <c:pt idx="29">
                  <c:v>0.22327130652871979</c:v>
                </c:pt>
                <c:pt idx="30">
                  <c:v>0.25373539150282615</c:v>
                </c:pt>
                <c:pt idx="31">
                  <c:v>0.1891805007188169</c:v>
                </c:pt>
                <c:pt idx="32">
                  <c:v>0.24796697488274785</c:v>
                </c:pt>
                <c:pt idx="33">
                  <c:v>0.1824181637271243</c:v>
                </c:pt>
                <c:pt idx="34">
                  <c:v>0.25651688365121811</c:v>
                </c:pt>
                <c:pt idx="35">
                  <c:v>0.13280842169302179</c:v>
                </c:pt>
                <c:pt idx="36">
                  <c:v>0.27005983021414254</c:v>
                </c:pt>
                <c:pt idx="37">
                  <c:v>0.22395613940563541</c:v>
                </c:pt>
                <c:pt idx="38">
                  <c:v>0.25605249985888889</c:v>
                </c:pt>
                <c:pt idx="39">
                  <c:v>0.20278591515791972</c:v>
                </c:pt>
                <c:pt idx="40">
                  <c:v>0.24141475543071489</c:v>
                </c:pt>
                <c:pt idx="41">
                  <c:v>0.23088383204530125</c:v>
                </c:pt>
                <c:pt idx="42">
                  <c:v>0.26068559782552986</c:v>
                </c:pt>
                <c:pt idx="43">
                  <c:v>0.16613550367370483</c:v>
                </c:pt>
                <c:pt idx="44">
                  <c:v>0.2386610152921779</c:v>
                </c:pt>
                <c:pt idx="45">
                  <c:v>0.1974728273058701</c:v>
                </c:pt>
                <c:pt idx="46">
                  <c:v>0.24721475415965485</c:v>
                </c:pt>
                <c:pt idx="47">
                  <c:v>0.1477332211723538</c:v>
                </c:pt>
                <c:pt idx="48">
                  <c:v>0.24525841723529268</c:v>
                </c:pt>
                <c:pt idx="49">
                  <c:v>0.18324457512841966</c:v>
                </c:pt>
                <c:pt idx="50">
                  <c:v>0.29737702905161395</c:v>
                </c:pt>
                <c:pt idx="51">
                  <c:v>0.15495330631105161</c:v>
                </c:pt>
                <c:pt idx="52">
                  <c:v>0.27478179093073146</c:v>
                </c:pt>
                <c:pt idx="53">
                  <c:v>0.21387040941172106</c:v>
                </c:pt>
                <c:pt idx="54">
                  <c:v>0.22967594104896993</c:v>
                </c:pt>
                <c:pt idx="55">
                  <c:v>0.16728920347888313</c:v>
                </c:pt>
                <c:pt idx="56">
                  <c:v>0.24907072423895013</c:v>
                </c:pt>
                <c:pt idx="57">
                  <c:v>0.17066896703137127</c:v>
                </c:pt>
                <c:pt idx="58">
                  <c:v>0.21999121361392501</c:v>
                </c:pt>
                <c:pt idx="59">
                  <c:v>0.16111494003338905</c:v>
                </c:pt>
              </c:numCache>
            </c:numRef>
          </c:yVal>
          <c:smooth val="0"/>
          <c:extLst>
            <c:ext xmlns:c16="http://schemas.microsoft.com/office/drawing/2014/chart" uri="{C3380CC4-5D6E-409C-BE32-E72D297353CC}">
              <c16:uniqueId val="{00000001-2A65-8045-9D9D-2B40E4B6D039}"/>
            </c:ext>
          </c:extLst>
        </c:ser>
        <c:dLbls>
          <c:showLegendKey val="0"/>
          <c:showVal val="0"/>
          <c:showCatName val="0"/>
          <c:showSerName val="0"/>
          <c:showPercent val="0"/>
          <c:showBubbleSize val="0"/>
        </c:dLbls>
        <c:axId val="167807232"/>
        <c:axId val="167821312"/>
      </c:scatterChart>
      <c:valAx>
        <c:axId val="167807232"/>
        <c:scaling>
          <c:orientation val="minMax"/>
        </c:scaling>
        <c:delete val="0"/>
        <c:axPos val="b"/>
        <c:numFmt formatCode="General" sourceLinked="1"/>
        <c:majorTickMark val="out"/>
        <c:minorTickMark val="none"/>
        <c:tickLblPos val="nextTo"/>
        <c:crossAx val="167821312"/>
        <c:crosses val="autoZero"/>
        <c:crossBetween val="midCat"/>
      </c:valAx>
      <c:valAx>
        <c:axId val="167821312"/>
        <c:scaling>
          <c:orientation val="minMax"/>
        </c:scaling>
        <c:delete val="0"/>
        <c:axPos val="l"/>
        <c:majorGridlines/>
        <c:numFmt formatCode="General" sourceLinked="1"/>
        <c:majorTickMark val="out"/>
        <c:minorTickMark val="none"/>
        <c:tickLblPos val="nextTo"/>
        <c:crossAx val="1678072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'Colwell P'!$T$5</c:f>
              <c:strCache>
                <c:ptCount val="1"/>
                <c:pt idx="0">
                  <c:v>abs</c:v>
                </c:pt>
              </c:strCache>
            </c:strRef>
          </c:tx>
          <c:spPr>
            <a:ln w="28575">
              <a:noFill/>
            </a:ln>
          </c:spPr>
          <c:trendline>
            <c:trendlineType val="linear"/>
            <c:dispRSqr val="1"/>
            <c:dispEq val="1"/>
            <c:trendlineLbl>
              <c:layout>
                <c:manualLayout>
                  <c:x val="0.36073293963254593"/>
                  <c:y val="-0.18091462525517643"/>
                </c:manualLayout>
              </c:layout>
              <c:numFmt formatCode="General" sourceLinked="0"/>
            </c:trendlineLbl>
          </c:trendline>
          <c:xVal>
            <c:numRef>
              <c:f>'Colwell P'!$S$6:$S$12</c:f>
              <c:numCache>
                <c:formatCode>General</c:formatCode>
                <c:ptCount val="7"/>
                <c:pt idx="0">
                  <c:v>0</c:v>
                </c:pt>
                <c:pt idx="1">
                  <c:v>0.01</c:v>
                </c:pt>
                <c:pt idx="2">
                  <c:v>0.02</c:v>
                </c:pt>
                <c:pt idx="3">
                  <c:v>0.05</c:v>
                </c:pt>
                <c:pt idx="4">
                  <c:v>0.1</c:v>
                </c:pt>
                <c:pt idx="5">
                  <c:v>0.2</c:v>
                </c:pt>
                <c:pt idx="6">
                  <c:v>0.5</c:v>
                </c:pt>
              </c:numCache>
            </c:numRef>
          </c:xVal>
          <c:yVal>
            <c:numRef>
              <c:f>'Colwell P'!$T$6:$T$12</c:f>
              <c:numCache>
                <c:formatCode>General</c:formatCode>
                <c:ptCount val="7"/>
                <c:pt idx="0">
                  <c:v>6.2E-2</c:v>
                </c:pt>
                <c:pt idx="1">
                  <c:v>6.5000000000000002E-2</c:v>
                </c:pt>
                <c:pt idx="2">
                  <c:v>7.1999999999999995E-2</c:v>
                </c:pt>
                <c:pt idx="3">
                  <c:v>8.5499999999999993E-2</c:v>
                </c:pt>
                <c:pt idx="4">
                  <c:v>0.113</c:v>
                </c:pt>
                <c:pt idx="5">
                  <c:v>0.17499999999999999</c:v>
                </c:pt>
                <c:pt idx="6">
                  <c:v>0.32350000000000001</c:v>
                </c:pt>
              </c:numCache>
            </c:numRef>
          </c:yVal>
          <c:smooth val="0"/>
          <c:extLst>
            <c:ext xmlns:c16="http://schemas.microsoft.com/office/drawing/2014/chart" uri="{C3380CC4-5D6E-409C-BE32-E72D297353CC}">
              <c16:uniqueId val="{00000001-A052-184A-9125-A30D45084F20}"/>
            </c:ext>
          </c:extLst>
        </c:ser>
        <c:dLbls>
          <c:showLegendKey val="0"/>
          <c:showVal val="0"/>
          <c:showCatName val="0"/>
          <c:showSerName val="0"/>
          <c:showPercent val="0"/>
          <c:showBubbleSize val="0"/>
        </c:dLbls>
        <c:axId val="153558400"/>
        <c:axId val="153568384"/>
      </c:scatterChart>
      <c:valAx>
        <c:axId val="153558400"/>
        <c:scaling>
          <c:orientation val="minMax"/>
        </c:scaling>
        <c:delete val="0"/>
        <c:axPos val="b"/>
        <c:numFmt formatCode="General" sourceLinked="1"/>
        <c:majorTickMark val="out"/>
        <c:minorTickMark val="none"/>
        <c:tickLblPos val="nextTo"/>
        <c:crossAx val="153568384"/>
        <c:crosses val="autoZero"/>
        <c:crossBetween val="midCat"/>
      </c:valAx>
      <c:valAx>
        <c:axId val="153568384"/>
        <c:scaling>
          <c:orientation val="minMax"/>
        </c:scaling>
        <c:delete val="0"/>
        <c:axPos val="l"/>
        <c:majorGridlines/>
        <c:numFmt formatCode="General" sourceLinked="1"/>
        <c:majorTickMark val="out"/>
        <c:minorTickMark val="none"/>
        <c:tickLblPos val="nextTo"/>
        <c:crossAx val="1535584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'DIN-pre experiment'!$B$30</c:f>
              <c:strCache>
                <c:ptCount val="1"/>
                <c:pt idx="0">
                  <c:v>abs</c:v>
                </c:pt>
              </c:strCache>
            </c:strRef>
          </c:tx>
          <c:spPr>
            <a:ln w="28575">
              <a:noFill/>
            </a:ln>
          </c:spPr>
          <c:trendline>
            <c:trendlineType val="linear"/>
            <c:dispRSqr val="1"/>
            <c:dispEq val="1"/>
            <c:trendlineLbl>
              <c:layout>
                <c:manualLayout>
                  <c:x val="0.40110279965004375"/>
                  <c:y val="-0.1927150772820064"/>
                </c:manualLayout>
              </c:layout>
              <c:numFmt formatCode="General" sourceLinked="0"/>
            </c:trendlineLbl>
          </c:trendline>
          <c:xVal>
            <c:numRef>
              <c:f>'DIN-pre experiment'!$A$31:$A$40</c:f>
              <c:numCache>
                <c:formatCode>General</c:formatCode>
                <c:ptCount val="10"/>
                <c:pt idx="0">
                  <c:v>0</c:v>
                </c:pt>
                <c:pt idx="1">
                  <c:v>0.1</c:v>
                </c:pt>
                <c:pt idx="2">
                  <c:v>0.5</c:v>
                </c:pt>
                <c:pt idx="3">
                  <c:v>1</c:v>
                </c:pt>
                <c:pt idx="4">
                  <c:v>2</c:v>
                </c:pt>
                <c:pt idx="5">
                  <c:v>4</c:v>
                </c:pt>
                <c:pt idx="6">
                  <c:v>7</c:v>
                </c:pt>
                <c:pt idx="7">
                  <c:v>10</c:v>
                </c:pt>
                <c:pt idx="8">
                  <c:v>20</c:v>
                </c:pt>
                <c:pt idx="9">
                  <c:v>40</c:v>
                </c:pt>
              </c:numCache>
            </c:numRef>
          </c:xVal>
          <c:yVal>
            <c:numRef>
              <c:f>'DIN-pre experiment'!$B$31:$B$40</c:f>
              <c:numCache>
                <c:formatCode>General</c:formatCode>
                <c:ptCount val="10"/>
                <c:pt idx="0">
                  <c:v>5.1999999999999998E-2</c:v>
                </c:pt>
                <c:pt idx="1">
                  <c:v>5.6000000000000001E-2</c:v>
                </c:pt>
                <c:pt idx="2">
                  <c:v>6.9500000000000006E-2</c:v>
                </c:pt>
                <c:pt idx="3">
                  <c:v>8.5999999999999993E-2</c:v>
                </c:pt>
                <c:pt idx="4">
                  <c:v>0.11550000000000001</c:v>
                </c:pt>
                <c:pt idx="5">
                  <c:v>0.17849999999999999</c:v>
                </c:pt>
                <c:pt idx="6">
                  <c:v>0.2455</c:v>
                </c:pt>
                <c:pt idx="7">
                  <c:v>0.33950000000000002</c:v>
                </c:pt>
                <c:pt idx="8">
                  <c:v>0.65949999999999998</c:v>
                </c:pt>
                <c:pt idx="9">
                  <c:v>1.337</c:v>
                </c:pt>
              </c:numCache>
            </c:numRef>
          </c:yVal>
          <c:smooth val="0"/>
          <c:extLst>
            <c:ext xmlns:c16="http://schemas.microsoft.com/office/drawing/2014/chart" uri="{C3380CC4-5D6E-409C-BE32-E72D297353CC}">
              <c16:uniqueId val="{00000001-E304-C54A-9C85-7F96B9C27428}"/>
            </c:ext>
          </c:extLst>
        </c:ser>
        <c:dLbls>
          <c:showLegendKey val="0"/>
          <c:showVal val="0"/>
          <c:showCatName val="0"/>
          <c:showSerName val="0"/>
          <c:showPercent val="0"/>
          <c:showBubbleSize val="0"/>
        </c:dLbls>
        <c:axId val="167188736"/>
        <c:axId val="167198720"/>
      </c:scatterChart>
      <c:valAx>
        <c:axId val="167188736"/>
        <c:scaling>
          <c:orientation val="minMax"/>
        </c:scaling>
        <c:delete val="0"/>
        <c:axPos val="b"/>
        <c:numFmt formatCode="General" sourceLinked="1"/>
        <c:majorTickMark val="out"/>
        <c:minorTickMark val="none"/>
        <c:tickLblPos val="nextTo"/>
        <c:crossAx val="167198720"/>
        <c:crosses val="autoZero"/>
        <c:crossBetween val="midCat"/>
      </c:valAx>
      <c:valAx>
        <c:axId val="167198720"/>
        <c:scaling>
          <c:orientation val="minMax"/>
        </c:scaling>
        <c:delete val="0"/>
        <c:axPos val="l"/>
        <c:majorGridlines/>
        <c:numFmt formatCode="General" sourceLinked="1"/>
        <c:majorTickMark val="out"/>
        <c:minorTickMark val="none"/>
        <c:tickLblPos val="nextTo"/>
        <c:crossAx val="1671887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0.43799212598425197"/>
                  <c:y val="-1.6355715952172646E-2"/>
                </c:manualLayout>
              </c:layout>
              <c:numFmt formatCode="General" sourceLinked="0"/>
            </c:trendlineLbl>
          </c:trendline>
          <c:xVal>
            <c:numRef>
              <c:f>'DIN-pre experiment'!$A$48:$A$56</c:f>
              <c:numCache>
                <c:formatCode>General</c:formatCode>
                <c:ptCount val="9"/>
                <c:pt idx="0">
                  <c:v>0</c:v>
                </c:pt>
                <c:pt idx="1">
                  <c:v>0.1</c:v>
                </c:pt>
                <c:pt idx="2">
                  <c:v>0.5</c:v>
                </c:pt>
                <c:pt idx="3">
                  <c:v>1</c:v>
                </c:pt>
                <c:pt idx="4">
                  <c:v>2</c:v>
                </c:pt>
                <c:pt idx="5">
                  <c:v>4</c:v>
                </c:pt>
                <c:pt idx="6">
                  <c:v>7</c:v>
                </c:pt>
                <c:pt idx="7">
                  <c:v>10</c:v>
                </c:pt>
                <c:pt idx="8">
                  <c:v>20</c:v>
                </c:pt>
              </c:numCache>
            </c:numRef>
          </c:xVal>
          <c:yVal>
            <c:numRef>
              <c:f>'DIN-pre experiment'!$B$48:$B$56</c:f>
              <c:numCache>
                <c:formatCode>General</c:formatCode>
                <c:ptCount val="9"/>
                <c:pt idx="0">
                  <c:v>0.12705</c:v>
                </c:pt>
                <c:pt idx="1">
                  <c:v>0.13235</c:v>
                </c:pt>
                <c:pt idx="2">
                  <c:v>0.1721</c:v>
                </c:pt>
                <c:pt idx="3">
                  <c:v>0.2155</c:v>
                </c:pt>
                <c:pt idx="4">
                  <c:v>0.30214999999999997</c:v>
                </c:pt>
                <c:pt idx="5">
                  <c:v>0.46789999999999998</c:v>
                </c:pt>
                <c:pt idx="6">
                  <c:v>0.64985000000000004</c:v>
                </c:pt>
                <c:pt idx="7">
                  <c:v>0.9234</c:v>
                </c:pt>
                <c:pt idx="8">
                  <c:v>1.58325</c:v>
                </c:pt>
              </c:numCache>
            </c:numRef>
          </c:yVal>
          <c:smooth val="0"/>
          <c:extLst>
            <c:ext xmlns:c16="http://schemas.microsoft.com/office/drawing/2014/chart" uri="{C3380CC4-5D6E-409C-BE32-E72D297353CC}">
              <c16:uniqueId val="{00000001-7DDB-4444-9734-A24F5C3B7641}"/>
            </c:ext>
          </c:extLst>
        </c:ser>
        <c:dLbls>
          <c:showLegendKey val="0"/>
          <c:showVal val="0"/>
          <c:showCatName val="0"/>
          <c:showSerName val="0"/>
          <c:showPercent val="0"/>
          <c:showBubbleSize val="0"/>
        </c:dLbls>
        <c:axId val="167215872"/>
        <c:axId val="167217408"/>
      </c:scatterChart>
      <c:valAx>
        <c:axId val="167215872"/>
        <c:scaling>
          <c:orientation val="minMax"/>
        </c:scaling>
        <c:delete val="0"/>
        <c:axPos val="b"/>
        <c:numFmt formatCode="General" sourceLinked="1"/>
        <c:majorTickMark val="out"/>
        <c:minorTickMark val="none"/>
        <c:tickLblPos val="nextTo"/>
        <c:crossAx val="167217408"/>
        <c:crosses val="autoZero"/>
        <c:crossBetween val="midCat"/>
      </c:valAx>
      <c:valAx>
        <c:axId val="167217408"/>
        <c:scaling>
          <c:orientation val="minMax"/>
        </c:scaling>
        <c:delete val="0"/>
        <c:axPos val="l"/>
        <c:majorGridlines/>
        <c:numFmt formatCode="General" sourceLinked="1"/>
        <c:majorTickMark val="out"/>
        <c:minorTickMark val="none"/>
        <c:tickLblPos val="nextTo"/>
        <c:crossAx val="1672158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yVal>
            <c:numRef>
              <c:f>'dead leaves'!$G$2:$G$61</c:f>
              <c:numCache>
                <c:formatCode>General</c:formatCode>
                <c:ptCount val="60"/>
                <c:pt idx="0">
                  <c:v>3.6900000000000004</c:v>
                </c:pt>
                <c:pt idx="1">
                  <c:v>4.5599999999999996</c:v>
                </c:pt>
                <c:pt idx="2">
                  <c:v>3.96</c:v>
                </c:pt>
                <c:pt idx="3">
                  <c:v>4.26</c:v>
                </c:pt>
                <c:pt idx="4">
                  <c:v>3.74</c:v>
                </c:pt>
                <c:pt idx="5">
                  <c:v>3.13</c:v>
                </c:pt>
                <c:pt idx="6">
                  <c:v>3.35</c:v>
                </c:pt>
                <c:pt idx="7">
                  <c:v>4.25</c:v>
                </c:pt>
                <c:pt idx="8">
                  <c:v>2.75</c:v>
                </c:pt>
                <c:pt idx="9">
                  <c:v>3.6100000000000003</c:v>
                </c:pt>
                <c:pt idx="10">
                  <c:v>3.2500000000000004</c:v>
                </c:pt>
                <c:pt idx="11">
                  <c:v>4.24</c:v>
                </c:pt>
                <c:pt idx="12">
                  <c:v>3.0700000000000003</c:v>
                </c:pt>
                <c:pt idx="13">
                  <c:v>3.8600000000000003</c:v>
                </c:pt>
                <c:pt idx="14">
                  <c:v>3.46</c:v>
                </c:pt>
                <c:pt idx="15">
                  <c:v>3.48</c:v>
                </c:pt>
                <c:pt idx="16">
                  <c:v>3.5199999999999996</c:v>
                </c:pt>
                <c:pt idx="17">
                  <c:v>3.0199999999999996</c:v>
                </c:pt>
                <c:pt idx="18">
                  <c:v>3.5700000000000003</c:v>
                </c:pt>
                <c:pt idx="19">
                  <c:v>3.2</c:v>
                </c:pt>
                <c:pt idx="20">
                  <c:v>3.5</c:v>
                </c:pt>
                <c:pt idx="21">
                  <c:v>4.46</c:v>
                </c:pt>
                <c:pt idx="22">
                  <c:v>4.16</c:v>
                </c:pt>
                <c:pt idx="23">
                  <c:v>3.7600000000000002</c:v>
                </c:pt>
                <c:pt idx="24">
                  <c:v>3.5300000000000002</c:v>
                </c:pt>
                <c:pt idx="25">
                  <c:v>3.95</c:v>
                </c:pt>
                <c:pt idx="26">
                  <c:v>2.74</c:v>
                </c:pt>
                <c:pt idx="27">
                  <c:v>4.58</c:v>
                </c:pt>
                <c:pt idx="28">
                  <c:v>3.85</c:v>
                </c:pt>
                <c:pt idx="29">
                  <c:v>4.12</c:v>
                </c:pt>
                <c:pt idx="30">
                  <c:v>2.9699999999999998</c:v>
                </c:pt>
                <c:pt idx="31">
                  <c:v>4.0999999999999996</c:v>
                </c:pt>
                <c:pt idx="32">
                  <c:v>3.97</c:v>
                </c:pt>
                <c:pt idx="33">
                  <c:v>4</c:v>
                </c:pt>
                <c:pt idx="34">
                  <c:v>3.06</c:v>
                </c:pt>
                <c:pt idx="35">
                  <c:v>2.96</c:v>
                </c:pt>
                <c:pt idx="36">
                  <c:v>3.87</c:v>
                </c:pt>
                <c:pt idx="37">
                  <c:v>3.6</c:v>
                </c:pt>
                <c:pt idx="38">
                  <c:v>3.0100000000000002</c:v>
                </c:pt>
                <c:pt idx="39">
                  <c:v>4.3699999999999992</c:v>
                </c:pt>
                <c:pt idx="40">
                  <c:v>3.5</c:v>
                </c:pt>
                <c:pt idx="41">
                  <c:v>3.91</c:v>
                </c:pt>
                <c:pt idx="42">
                  <c:v>4.83</c:v>
                </c:pt>
                <c:pt idx="43">
                  <c:v>4.1099999999999994</c:v>
                </c:pt>
                <c:pt idx="44">
                  <c:v>2.88</c:v>
                </c:pt>
                <c:pt idx="45">
                  <c:v>3.7199999999999998</c:v>
                </c:pt>
                <c:pt idx="46">
                  <c:v>3.08</c:v>
                </c:pt>
                <c:pt idx="47">
                  <c:v>3.8200000000000003</c:v>
                </c:pt>
                <c:pt idx="48">
                  <c:v>3.4</c:v>
                </c:pt>
                <c:pt idx="49">
                  <c:v>4.38</c:v>
                </c:pt>
                <c:pt idx="50">
                  <c:v>3.71</c:v>
                </c:pt>
                <c:pt idx="51">
                  <c:v>3.34</c:v>
                </c:pt>
                <c:pt idx="52">
                  <c:v>4.1399999999999997</c:v>
                </c:pt>
                <c:pt idx="53">
                  <c:v>3.55</c:v>
                </c:pt>
                <c:pt idx="54">
                  <c:v>3.4800000000000004</c:v>
                </c:pt>
                <c:pt idx="55">
                  <c:v>3.04</c:v>
                </c:pt>
                <c:pt idx="56">
                  <c:v>3.7</c:v>
                </c:pt>
                <c:pt idx="57">
                  <c:v>2.7629999999999999</c:v>
                </c:pt>
                <c:pt idx="58">
                  <c:v>3.4000000000000004</c:v>
                </c:pt>
                <c:pt idx="59">
                  <c:v>3.08</c:v>
                </c:pt>
              </c:numCache>
            </c:numRef>
          </c:yVal>
          <c:smooth val="0"/>
          <c:extLst>
            <c:ext xmlns:c16="http://schemas.microsoft.com/office/drawing/2014/chart" uri="{C3380CC4-5D6E-409C-BE32-E72D297353CC}">
              <c16:uniqueId val="{00000000-DF76-884F-B861-CF65523E5790}"/>
            </c:ext>
          </c:extLst>
        </c:ser>
        <c:dLbls>
          <c:showLegendKey val="0"/>
          <c:showVal val="0"/>
          <c:showCatName val="0"/>
          <c:showSerName val="0"/>
          <c:showPercent val="0"/>
          <c:showBubbleSize val="0"/>
        </c:dLbls>
        <c:axId val="167336192"/>
        <c:axId val="167350272"/>
      </c:scatterChart>
      <c:valAx>
        <c:axId val="167336192"/>
        <c:scaling>
          <c:orientation val="minMax"/>
        </c:scaling>
        <c:delete val="0"/>
        <c:axPos val="b"/>
        <c:majorTickMark val="out"/>
        <c:minorTickMark val="none"/>
        <c:tickLblPos val="nextTo"/>
        <c:crossAx val="167350272"/>
        <c:crosses val="autoZero"/>
        <c:crossBetween val="midCat"/>
      </c:valAx>
      <c:valAx>
        <c:axId val="167350272"/>
        <c:scaling>
          <c:orientation val="minMax"/>
        </c:scaling>
        <c:delete val="0"/>
        <c:axPos val="l"/>
        <c:majorGridlines/>
        <c:numFmt formatCode="General" sourceLinked="1"/>
        <c:majorTickMark val="out"/>
        <c:minorTickMark val="none"/>
        <c:tickLblPos val="nextTo"/>
        <c:crossAx val="1673361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'DIN results'!$G$3</c:f>
              <c:strCache>
                <c:ptCount val="1"/>
                <c:pt idx="0">
                  <c:v>abs</c:v>
                </c:pt>
              </c:strCache>
            </c:strRef>
          </c:tx>
          <c:spPr>
            <a:ln w="28575">
              <a:noFill/>
            </a:ln>
          </c:spPr>
          <c:trendline>
            <c:trendlineType val="linear"/>
            <c:dispRSqr val="1"/>
            <c:dispEq val="1"/>
            <c:trendlineLbl>
              <c:layout>
                <c:manualLayout>
                  <c:x val="0.38443613298337709"/>
                  <c:y val="-0.16702573636628754"/>
                </c:manualLayout>
              </c:layout>
              <c:numFmt formatCode="General" sourceLinked="0"/>
            </c:trendlineLbl>
          </c:trendline>
          <c:xVal>
            <c:numRef>
              <c:f>'DIN results'!$F$4:$F$12</c:f>
              <c:numCache>
                <c:formatCode>General</c:formatCode>
                <c:ptCount val="9"/>
                <c:pt idx="0">
                  <c:v>0</c:v>
                </c:pt>
                <c:pt idx="1">
                  <c:v>0.1</c:v>
                </c:pt>
                <c:pt idx="2">
                  <c:v>0.2</c:v>
                </c:pt>
                <c:pt idx="3">
                  <c:v>0.5</c:v>
                </c:pt>
                <c:pt idx="4">
                  <c:v>1</c:v>
                </c:pt>
                <c:pt idx="5">
                  <c:v>2</c:v>
                </c:pt>
                <c:pt idx="7">
                  <c:v>10</c:v>
                </c:pt>
                <c:pt idx="8">
                  <c:v>20</c:v>
                </c:pt>
              </c:numCache>
            </c:numRef>
          </c:xVal>
          <c:yVal>
            <c:numRef>
              <c:f>'DIN results'!$G$4:$G$12</c:f>
              <c:numCache>
                <c:formatCode>General</c:formatCode>
                <c:ptCount val="9"/>
                <c:pt idx="0">
                  <c:v>5.0999999999999997E-2</c:v>
                </c:pt>
                <c:pt idx="1">
                  <c:v>5.3499999999999999E-2</c:v>
                </c:pt>
                <c:pt idx="2">
                  <c:v>5.8500000000000003E-2</c:v>
                </c:pt>
                <c:pt idx="3">
                  <c:v>6.6500000000000004E-2</c:v>
                </c:pt>
                <c:pt idx="4">
                  <c:v>8.4500000000000006E-2</c:v>
                </c:pt>
                <c:pt idx="5">
                  <c:v>0.11799999999999999</c:v>
                </c:pt>
                <c:pt idx="7">
                  <c:v>0.39450000000000002</c:v>
                </c:pt>
                <c:pt idx="8">
                  <c:v>0.72699999999999998</c:v>
                </c:pt>
              </c:numCache>
            </c:numRef>
          </c:yVal>
          <c:smooth val="0"/>
          <c:extLst>
            <c:ext xmlns:c16="http://schemas.microsoft.com/office/drawing/2014/chart" uri="{C3380CC4-5D6E-409C-BE32-E72D297353CC}">
              <c16:uniqueId val="{00000001-30ED-E04D-8472-B8FAEBC13961}"/>
            </c:ext>
          </c:extLst>
        </c:ser>
        <c:dLbls>
          <c:showLegendKey val="0"/>
          <c:showVal val="0"/>
          <c:showCatName val="0"/>
          <c:showSerName val="0"/>
          <c:showPercent val="0"/>
          <c:showBubbleSize val="0"/>
        </c:dLbls>
        <c:axId val="167539456"/>
        <c:axId val="167540992"/>
      </c:scatterChart>
      <c:valAx>
        <c:axId val="167539456"/>
        <c:scaling>
          <c:orientation val="minMax"/>
        </c:scaling>
        <c:delete val="0"/>
        <c:axPos val="b"/>
        <c:numFmt formatCode="General" sourceLinked="1"/>
        <c:majorTickMark val="out"/>
        <c:minorTickMark val="none"/>
        <c:tickLblPos val="nextTo"/>
        <c:crossAx val="167540992"/>
        <c:crosses val="autoZero"/>
        <c:crossBetween val="midCat"/>
      </c:valAx>
      <c:valAx>
        <c:axId val="167540992"/>
        <c:scaling>
          <c:orientation val="minMax"/>
        </c:scaling>
        <c:delete val="0"/>
        <c:axPos val="l"/>
        <c:majorGridlines/>
        <c:numFmt formatCode="General" sourceLinked="1"/>
        <c:majorTickMark val="out"/>
        <c:minorTickMark val="none"/>
        <c:tickLblPos val="nextTo"/>
        <c:crossAx val="167539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'DIN results'!$V$70</c:f>
              <c:strCache>
                <c:ptCount val="1"/>
                <c:pt idx="0">
                  <c:v>abs</c:v>
                </c:pt>
              </c:strCache>
            </c:strRef>
          </c:tx>
          <c:spPr>
            <a:ln w="28575">
              <a:noFill/>
            </a:ln>
          </c:spPr>
          <c:trendline>
            <c:trendlineType val="linear"/>
            <c:dispRSqr val="1"/>
            <c:dispEq val="1"/>
            <c:trendlineLbl>
              <c:layout>
                <c:manualLayout>
                  <c:x val="0.3907130358705162"/>
                  <c:y val="-0.15776647710702829"/>
                </c:manualLayout>
              </c:layout>
              <c:numFmt formatCode="General" sourceLinked="0"/>
            </c:trendlineLbl>
          </c:trendline>
          <c:xVal>
            <c:numRef>
              <c:f>'DIN results'!$U$71:$U$76</c:f>
              <c:numCache>
                <c:formatCode>General</c:formatCode>
                <c:ptCount val="6"/>
                <c:pt idx="0">
                  <c:v>0</c:v>
                </c:pt>
                <c:pt idx="1">
                  <c:v>0.1</c:v>
                </c:pt>
                <c:pt idx="2">
                  <c:v>0.2</c:v>
                </c:pt>
                <c:pt idx="3">
                  <c:v>0.5</c:v>
                </c:pt>
                <c:pt idx="4">
                  <c:v>1</c:v>
                </c:pt>
                <c:pt idx="5">
                  <c:v>2</c:v>
                </c:pt>
              </c:numCache>
            </c:numRef>
          </c:xVal>
          <c:yVal>
            <c:numRef>
              <c:f>'DIN results'!$V$71:$V$76</c:f>
              <c:numCache>
                <c:formatCode>General</c:formatCode>
                <c:ptCount val="6"/>
                <c:pt idx="0">
                  <c:v>0.08</c:v>
                </c:pt>
                <c:pt idx="1">
                  <c:v>0.10300000000000001</c:v>
                </c:pt>
                <c:pt idx="2">
                  <c:v>0.1195</c:v>
                </c:pt>
                <c:pt idx="3">
                  <c:v>0.18049999999999999</c:v>
                </c:pt>
                <c:pt idx="4">
                  <c:v>0.27300000000000002</c:v>
                </c:pt>
                <c:pt idx="5">
                  <c:v>0.46550000000000002</c:v>
                </c:pt>
              </c:numCache>
            </c:numRef>
          </c:yVal>
          <c:smooth val="0"/>
          <c:extLst>
            <c:ext xmlns:c16="http://schemas.microsoft.com/office/drawing/2014/chart" uri="{C3380CC4-5D6E-409C-BE32-E72D297353CC}">
              <c16:uniqueId val="{00000001-A987-124C-BE4F-31307786B7DF}"/>
            </c:ext>
          </c:extLst>
        </c:ser>
        <c:dLbls>
          <c:showLegendKey val="0"/>
          <c:showVal val="0"/>
          <c:showCatName val="0"/>
          <c:showSerName val="0"/>
          <c:showPercent val="0"/>
          <c:showBubbleSize val="0"/>
        </c:dLbls>
        <c:axId val="167250560"/>
        <c:axId val="167260544"/>
      </c:scatterChart>
      <c:valAx>
        <c:axId val="167250560"/>
        <c:scaling>
          <c:orientation val="minMax"/>
        </c:scaling>
        <c:delete val="0"/>
        <c:axPos val="b"/>
        <c:numFmt formatCode="General" sourceLinked="1"/>
        <c:majorTickMark val="out"/>
        <c:minorTickMark val="none"/>
        <c:tickLblPos val="nextTo"/>
        <c:crossAx val="167260544"/>
        <c:crosses val="autoZero"/>
        <c:crossBetween val="midCat"/>
      </c:valAx>
      <c:valAx>
        <c:axId val="167260544"/>
        <c:scaling>
          <c:orientation val="minMax"/>
        </c:scaling>
        <c:delete val="0"/>
        <c:axPos val="l"/>
        <c:majorGridlines/>
        <c:numFmt formatCode="General" sourceLinked="1"/>
        <c:majorTickMark val="out"/>
        <c:minorTickMark val="none"/>
        <c:tickLblPos val="nextTo"/>
        <c:crossAx val="1672505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'DIN results'!$V$3</c:f>
              <c:strCache>
                <c:ptCount val="1"/>
                <c:pt idx="0">
                  <c:v>abs</c:v>
                </c:pt>
              </c:strCache>
            </c:strRef>
          </c:tx>
          <c:spPr>
            <a:ln w="28575">
              <a:noFill/>
            </a:ln>
          </c:spPr>
          <c:trendline>
            <c:trendlineType val="linear"/>
            <c:dispRSqr val="1"/>
            <c:dispEq val="1"/>
            <c:trendlineLbl>
              <c:layout>
                <c:manualLayout>
                  <c:x val="0.37385214348206475"/>
                  <c:y val="-0.18091462525517643"/>
                </c:manualLayout>
              </c:layout>
              <c:numFmt formatCode="General" sourceLinked="0"/>
            </c:trendlineLbl>
          </c:trendline>
          <c:xVal>
            <c:numRef>
              <c:f>'DIN results'!$U$4:$U$12</c:f>
              <c:numCache>
                <c:formatCode>General</c:formatCode>
                <c:ptCount val="9"/>
                <c:pt idx="0">
                  <c:v>0</c:v>
                </c:pt>
                <c:pt idx="1">
                  <c:v>0.1</c:v>
                </c:pt>
                <c:pt idx="2">
                  <c:v>0.2</c:v>
                </c:pt>
                <c:pt idx="3">
                  <c:v>0.5</c:v>
                </c:pt>
                <c:pt idx="4">
                  <c:v>1</c:v>
                </c:pt>
                <c:pt idx="5">
                  <c:v>2</c:v>
                </c:pt>
                <c:pt idx="6">
                  <c:v>5</c:v>
                </c:pt>
                <c:pt idx="7">
                  <c:v>7</c:v>
                </c:pt>
                <c:pt idx="8">
                  <c:v>10</c:v>
                </c:pt>
              </c:numCache>
            </c:numRef>
          </c:xVal>
          <c:yVal>
            <c:numRef>
              <c:f>'DIN results'!$V$4:$V$12</c:f>
              <c:numCache>
                <c:formatCode>General</c:formatCode>
                <c:ptCount val="9"/>
                <c:pt idx="0">
                  <c:v>8.2000000000000003E-2</c:v>
                </c:pt>
                <c:pt idx="1">
                  <c:v>0.10100000000000001</c:v>
                </c:pt>
                <c:pt idx="2">
                  <c:v>0.113</c:v>
                </c:pt>
                <c:pt idx="3">
                  <c:v>0.1875</c:v>
                </c:pt>
                <c:pt idx="4">
                  <c:v>0.29299999999999998</c:v>
                </c:pt>
                <c:pt idx="5">
                  <c:v>0.49299999999999999</c:v>
                </c:pt>
                <c:pt idx="6">
                  <c:v>0.88849999999999996</c:v>
                </c:pt>
                <c:pt idx="7">
                  <c:v>1.2575000000000001</c:v>
                </c:pt>
                <c:pt idx="8">
                  <c:v>1.8340000000000001</c:v>
                </c:pt>
              </c:numCache>
            </c:numRef>
          </c:yVal>
          <c:smooth val="0"/>
          <c:extLst>
            <c:ext xmlns:c16="http://schemas.microsoft.com/office/drawing/2014/chart" uri="{C3380CC4-5D6E-409C-BE32-E72D297353CC}">
              <c16:uniqueId val="{00000001-7412-FA4C-A96E-564F1010F4DD}"/>
            </c:ext>
          </c:extLst>
        </c:ser>
        <c:dLbls>
          <c:showLegendKey val="0"/>
          <c:showVal val="0"/>
          <c:showCatName val="0"/>
          <c:showSerName val="0"/>
          <c:showPercent val="0"/>
          <c:showBubbleSize val="0"/>
        </c:dLbls>
        <c:axId val="167273600"/>
        <c:axId val="167275136"/>
      </c:scatterChart>
      <c:valAx>
        <c:axId val="167273600"/>
        <c:scaling>
          <c:orientation val="minMax"/>
        </c:scaling>
        <c:delete val="0"/>
        <c:axPos val="b"/>
        <c:numFmt formatCode="General" sourceLinked="1"/>
        <c:majorTickMark val="out"/>
        <c:minorTickMark val="none"/>
        <c:tickLblPos val="nextTo"/>
        <c:crossAx val="167275136"/>
        <c:crosses val="autoZero"/>
        <c:crossBetween val="midCat"/>
      </c:valAx>
      <c:valAx>
        <c:axId val="167275136"/>
        <c:scaling>
          <c:orientation val="minMax"/>
        </c:scaling>
        <c:delete val="0"/>
        <c:axPos val="l"/>
        <c:majorGridlines/>
        <c:numFmt formatCode="General" sourceLinked="1"/>
        <c:majorTickMark val="out"/>
        <c:minorTickMark val="none"/>
        <c:tickLblPos val="nextTo"/>
        <c:crossAx val="1672736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'DIN results'!$G$70</c:f>
              <c:strCache>
                <c:ptCount val="1"/>
                <c:pt idx="0">
                  <c:v>abs</c:v>
                </c:pt>
              </c:strCache>
            </c:strRef>
          </c:tx>
          <c:spPr>
            <a:ln w="28575">
              <a:noFill/>
            </a:ln>
          </c:spPr>
          <c:trendline>
            <c:trendlineType val="linear"/>
            <c:dispRSqr val="1"/>
            <c:dispEq val="1"/>
            <c:trendlineLbl>
              <c:layout>
                <c:manualLayout>
                  <c:x val="0.39279724409448818"/>
                  <c:y val="-0.17165536599591719"/>
                </c:manualLayout>
              </c:layout>
              <c:numFmt formatCode="General" sourceLinked="0"/>
            </c:trendlineLbl>
          </c:trendline>
          <c:xVal>
            <c:numRef>
              <c:f>'DIN results'!$F$71:$F$79</c:f>
              <c:numCache>
                <c:formatCode>General</c:formatCode>
                <c:ptCount val="9"/>
                <c:pt idx="0">
                  <c:v>0</c:v>
                </c:pt>
                <c:pt idx="1">
                  <c:v>0.01</c:v>
                </c:pt>
                <c:pt idx="2">
                  <c:v>0.02</c:v>
                </c:pt>
                <c:pt idx="3">
                  <c:v>0.05</c:v>
                </c:pt>
                <c:pt idx="4">
                  <c:v>0.1</c:v>
                </c:pt>
                <c:pt idx="5">
                  <c:v>0.2</c:v>
                </c:pt>
                <c:pt idx="6">
                  <c:v>0.5</c:v>
                </c:pt>
                <c:pt idx="7">
                  <c:v>1</c:v>
                </c:pt>
                <c:pt idx="8">
                  <c:v>2</c:v>
                </c:pt>
              </c:numCache>
            </c:numRef>
          </c:xVal>
          <c:yVal>
            <c:numRef>
              <c:f>'DIN results'!$G$71:$G$79</c:f>
              <c:numCache>
                <c:formatCode>General</c:formatCode>
                <c:ptCount val="9"/>
                <c:pt idx="0">
                  <c:v>4.7500000000000001E-2</c:v>
                </c:pt>
                <c:pt idx="1">
                  <c:v>4.8500000000000001E-2</c:v>
                </c:pt>
                <c:pt idx="2">
                  <c:v>5.5E-2</c:v>
                </c:pt>
                <c:pt idx="3">
                  <c:v>6.4000000000000001E-2</c:v>
                </c:pt>
                <c:pt idx="4">
                  <c:v>8.4000000000000005E-2</c:v>
                </c:pt>
                <c:pt idx="5">
                  <c:v>0.121</c:v>
                </c:pt>
                <c:pt idx="6">
                  <c:v>0.23200000000000001</c:v>
                </c:pt>
                <c:pt idx="7">
                  <c:v>0.41349999999999998</c:v>
                </c:pt>
                <c:pt idx="8">
                  <c:v>0.73799999999999999</c:v>
                </c:pt>
              </c:numCache>
            </c:numRef>
          </c:yVal>
          <c:smooth val="0"/>
          <c:extLst>
            <c:ext xmlns:c16="http://schemas.microsoft.com/office/drawing/2014/chart" uri="{C3380CC4-5D6E-409C-BE32-E72D297353CC}">
              <c16:uniqueId val="{00000001-0934-E842-82A5-9FCACF439D21}"/>
            </c:ext>
          </c:extLst>
        </c:ser>
        <c:dLbls>
          <c:showLegendKey val="0"/>
          <c:showVal val="0"/>
          <c:showCatName val="0"/>
          <c:showSerName val="0"/>
          <c:showPercent val="0"/>
          <c:showBubbleSize val="0"/>
        </c:dLbls>
        <c:axId val="167300480"/>
        <c:axId val="167306368"/>
      </c:scatterChart>
      <c:valAx>
        <c:axId val="167300480"/>
        <c:scaling>
          <c:orientation val="minMax"/>
        </c:scaling>
        <c:delete val="0"/>
        <c:axPos val="b"/>
        <c:numFmt formatCode="General" sourceLinked="1"/>
        <c:majorTickMark val="out"/>
        <c:minorTickMark val="none"/>
        <c:tickLblPos val="nextTo"/>
        <c:crossAx val="167306368"/>
        <c:crosses val="autoZero"/>
        <c:crossBetween val="midCat"/>
      </c:valAx>
      <c:valAx>
        <c:axId val="167306368"/>
        <c:scaling>
          <c:orientation val="minMax"/>
        </c:scaling>
        <c:delete val="0"/>
        <c:axPos val="l"/>
        <c:majorGridlines/>
        <c:numFmt formatCode="General" sourceLinked="1"/>
        <c:majorTickMark val="out"/>
        <c:minorTickMark val="none"/>
        <c:tickLblPos val="nextTo"/>
        <c:crossAx val="1673004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400049</xdr:colOff>
      <xdr:row>22</xdr:row>
      <xdr:rowOff>138112</xdr:rowOff>
    </xdr:from>
    <xdr:to>
      <xdr:col>6</xdr:col>
      <xdr:colOff>609599</xdr:colOff>
      <xdr:row>38</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1</xdr:row>
      <xdr:rowOff>166687</xdr:rowOff>
    </xdr:from>
    <xdr:to>
      <xdr:col>28</xdr:col>
      <xdr:colOff>95250</xdr:colOff>
      <xdr:row>14</xdr:row>
      <xdr:rowOff>242887</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314325</xdr:colOff>
      <xdr:row>28</xdr:row>
      <xdr:rowOff>166687</xdr:rowOff>
    </xdr:from>
    <xdr:to>
      <xdr:col>10</xdr:col>
      <xdr:colOff>9525</xdr:colOff>
      <xdr:row>43</xdr:row>
      <xdr:rowOff>52387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307028</xdr:colOff>
      <xdr:row>47</xdr:row>
      <xdr:rowOff>32596</xdr:rowOff>
    </xdr:from>
    <xdr:to>
      <xdr:col>10</xdr:col>
      <xdr:colOff>8412</xdr:colOff>
      <xdr:row>61</xdr:row>
      <xdr:rowOff>108796</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430697</xdr:colOff>
      <xdr:row>6</xdr:row>
      <xdr:rowOff>65432</xdr:rowOff>
    </xdr:from>
    <xdr:to>
      <xdr:col>18</xdr:col>
      <xdr:colOff>99392</xdr:colOff>
      <xdr:row>20</xdr:row>
      <xdr:rowOff>141632</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14</xdr:row>
      <xdr:rowOff>61912</xdr:rowOff>
    </xdr:from>
    <xdr:to>
      <xdr:col>12</xdr:col>
      <xdr:colOff>314325</xdr:colOff>
      <xdr:row>28</xdr:row>
      <xdr:rowOff>138112</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95250</xdr:colOff>
      <xdr:row>79</xdr:row>
      <xdr:rowOff>157162</xdr:rowOff>
    </xdr:from>
    <xdr:to>
      <xdr:col>27</xdr:col>
      <xdr:colOff>400050</xdr:colOff>
      <xdr:row>94</xdr:row>
      <xdr:rowOff>42862</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523875</xdr:colOff>
      <xdr:row>13</xdr:row>
      <xdr:rowOff>4762</xdr:rowOff>
    </xdr:from>
    <xdr:to>
      <xdr:col>27</xdr:col>
      <xdr:colOff>219075</xdr:colOff>
      <xdr:row>27</xdr:row>
      <xdr:rowOff>80962</xdr:rowOff>
    </xdr:to>
    <xdr:graphicFrame macro="">
      <xdr:nvGraphicFramePr>
        <xdr:cNvPr id="6" name="Chart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80</xdr:row>
      <xdr:rowOff>147637</xdr:rowOff>
    </xdr:from>
    <xdr:to>
      <xdr:col>12</xdr:col>
      <xdr:colOff>314325</xdr:colOff>
      <xdr:row>95</xdr:row>
      <xdr:rowOff>33337</xdr:rowOff>
    </xdr:to>
    <xdr:graphicFrame macro="">
      <xdr:nvGraphicFramePr>
        <xdr:cNvPr id="7" name="Chart 6">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143</xdr:row>
      <xdr:rowOff>119062</xdr:rowOff>
    </xdr:from>
    <xdr:to>
      <xdr:col>12</xdr:col>
      <xdr:colOff>304800</xdr:colOff>
      <xdr:row>158</xdr:row>
      <xdr:rowOff>4762</xdr:rowOff>
    </xdr:to>
    <xdr:graphicFrame macro="">
      <xdr:nvGraphicFramePr>
        <xdr:cNvPr id="9" name="Chart 8">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64</xdr:row>
      <xdr:rowOff>61912</xdr:rowOff>
    </xdr:from>
    <xdr:to>
      <xdr:col>30</xdr:col>
      <xdr:colOff>304800</xdr:colOff>
      <xdr:row>78</xdr:row>
      <xdr:rowOff>138112</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171450</xdr:colOff>
      <xdr:row>1</xdr:row>
      <xdr:rowOff>9525</xdr:rowOff>
    </xdr:from>
    <xdr:to>
      <xdr:col>21</xdr:col>
      <xdr:colOff>476250</xdr:colOff>
      <xdr:row>15</xdr:row>
      <xdr:rowOff>85725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71</xdr:row>
      <xdr:rowOff>128587</xdr:rowOff>
    </xdr:from>
    <xdr:to>
      <xdr:col>18</xdr:col>
      <xdr:colOff>438150</xdr:colOff>
      <xdr:row>86</xdr:row>
      <xdr:rowOff>14287</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590550</xdr:colOff>
      <xdr:row>81</xdr:row>
      <xdr:rowOff>33337</xdr:rowOff>
    </xdr:from>
    <xdr:to>
      <xdr:col>39</xdr:col>
      <xdr:colOff>285750</xdr:colOff>
      <xdr:row>95</xdr:row>
      <xdr:rowOff>109537</xdr:rowOff>
    </xdr:to>
    <xdr:graphicFrame macro="">
      <xdr:nvGraphicFramePr>
        <xdr:cNvPr id="6" name="Chart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49</xdr:col>
      <xdr:colOff>38100</xdr:colOff>
      <xdr:row>79</xdr:row>
      <xdr:rowOff>128587</xdr:rowOff>
    </xdr:from>
    <xdr:to>
      <xdr:col>56</xdr:col>
      <xdr:colOff>342900</xdr:colOff>
      <xdr:row>94</xdr:row>
      <xdr:rowOff>14287</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59</xdr:col>
      <xdr:colOff>180975</xdr:colOff>
      <xdr:row>70</xdr:row>
      <xdr:rowOff>42862</xdr:rowOff>
    </xdr:from>
    <xdr:to>
      <xdr:col>66</xdr:col>
      <xdr:colOff>485775</xdr:colOff>
      <xdr:row>84</xdr:row>
      <xdr:rowOff>119062</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C2FD-09FA-FD4F-8E09-786B68FF2FA7}">
  <dimension ref="A1"/>
  <sheetViews>
    <sheetView workbookViewId="0"/>
  </sheetViews>
  <sheetFormatPr baseColWidth="10" defaultRowHeight="15" x14ac:dyDescent="0.2"/>
  <sheetData>
    <row r="1" spans="1:1" x14ac:dyDescent="0.2">
      <c r="A1" t="s">
        <v>446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43"/>
  <sheetViews>
    <sheetView topLeftCell="E1" workbookViewId="0">
      <selection activeCell="S131" sqref="S131"/>
    </sheetView>
  </sheetViews>
  <sheetFormatPr baseColWidth="10" defaultColWidth="9.1640625" defaultRowHeight="15" x14ac:dyDescent="0.2"/>
  <cols>
    <col min="1" max="16384" width="9.1640625" style="23"/>
  </cols>
  <sheetData>
    <row r="1" spans="1:22" x14ac:dyDescent="0.2">
      <c r="A1" s="26">
        <v>42179</v>
      </c>
      <c r="P1" s="26">
        <v>42180</v>
      </c>
    </row>
    <row r="2" spans="1:22" x14ac:dyDescent="0.2">
      <c r="A2" s="27" t="s">
        <v>121</v>
      </c>
      <c r="P2" s="27" t="s">
        <v>162</v>
      </c>
    </row>
    <row r="3" spans="1:22" x14ac:dyDescent="0.2">
      <c r="A3" s="23" t="s">
        <v>63</v>
      </c>
      <c r="B3" s="23" t="s">
        <v>45</v>
      </c>
      <c r="C3" s="23" t="s">
        <v>15</v>
      </c>
      <c r="D3" s="23" t="s">
        <v>172</v>
      </c>
      <c r="E3" s="23" t="s">
        <v>173</v>
      </c>
      <c r="F3" s="23" t="s">
        <v>15</v>
      </c>
      <c r="G3" s="23" t="s">
        <v>45</v>
      </c>
      <c r="I3" s="23" t="s">
        <v>63</v>
      </c>
      <c r="J3" s="23" t="s">
        <v>45</v>
      </c>
      <c r="K3" s="23" t="s">
        <v>15</v>
      </c>
      <c r="L3" s="23" t="s">
        <v>165</v>
      </c>
      <c r="P3" s="28" t="s">
        <v>63</v>
      </c>
      <c r="Q3" s="28" t="s">
        <v>45</v>
      </c>
      <c r="R3" s="28" t="s">
        <v>15</v>
      </c>
      <c r="S3" s="28"/>
      <c r="T3" s="28"/>
      <c r="U3" s="28" t="s">
        <v>15</v>
      </c>
      <c r="V3" s="28" t="s">
        <v>45</v>
      </c>
    </row>
    <row r="4" spans="1:22" x14ac:dyDescent="0.2">
      <c r="A4" s="23">
        <v>1</v>
      </c>
      <c r="B4" s="23">
        <v>0.17249999999999999</v>
      </c>
      <c r="C4" s="12">
        <f>(B4-0.0509)/0.0339</f>
        <v>3.5870206489675511</v>
      </c>
      <c r="D4" s="12">
        <v>3.5870206489675511</v>
      </c>
      <c r="E4" s="12">
        <f>D4-$C$64</f>
        <v>2.8908554572271381</v>
      </c>
      <c r="F4" s="23">
        <v>0</v>
      </c>
      <c r="G4" s="23">
        <v>5.0999999999999997E-2</v>
      </c>
      <c r="I4" s="23">
        <v>13</v>
      </c>
      <c r="J4" s="23">
        <v>0.53400000000000003</v>
      </c>
      <c r="K4" s="23">
        <v>12.328205128205129</v>
      </c>
      <c r="L4" s="23">
        <v>36.984615384615388</v>
      </c>
      <c r="P4" s="23">
        <v>1</v>
      </c>
      <c r="Q4" s="23">
        <v>0.13600000000000001</v>
      </c>
      <c r="R4" s="12">
        <f>(Q4-0.095)/0.1703</f>
        <v>0.24075161479741636</v>
      </c>
      <c r="U4" s="30">
        <v>0</v>
      </c>
      <c r="V4" s="23">
        <v>8.2000000000000003E-2</v>
      </c>
    </row>
    <row r="5" spans="1:22" x14ac:dyDescent="0.2">
      <c r="A5" s="23">
        <v>2</v>
      </c>
      <c r="B5" s="23">
        <v>8.8499999999999995E-2</v>
      </c>
      <c r="C5" s="12">
        <f t="shared" ref="C5:C64" si="0">(B5-0.0509)/0.0339</f>
        <v>1.1091445427728612</v>
      </c>
      <c r="D5" s="12">
        <v>1.1091445427728612</v>
      </c>
      <c r="E5" s="12">
        <f t="shared" ref="E5:E63" si="1">D5-$C$64</f>
        <v>0.41297935103244832</v>
      </c>
      <c r="F5" s="23">
        <v>0.1</v>
      </c>
      <c r="G5" s="23">
        <v>5.3499999999999999E-2</v>
      </c>
      <c r="I5" s="23">
        <v>20</v>
      </c>
      <c r="J5" s="23">
        <v>0.48449999999999999</v>
      </c>
      <c r="K5" s="23">
        <v>11.058974358974359</v>
      </c>
      <c r="L5" s="23">
        <v>33.176923076923075</v>
      </c>
      <c r="P5" s="23">
        <v>2</v>
      </c>
      <c r="Q5" s="23">
        <v>0.13150000000000001</v>
      </c>
      <c r="R5" s="12">
        <f t="shared" ref="R5:R64" si="2">(Q5-0.095)/0.1703</f>
        <v>0.21432765707574869</v>
      </c>
      <c r="U5" s="30">
        <v>0.1</v>
      </c>
      <c r="V5" s="23">
        <v>0.10100000000000001</v>
      </c>
    </row>
    <row r="6" spans="1:22" x14ac:dyDescent="0.2">
      <c r="A6" s="23">
        <v>3</v>
      </c>
      <c r="B6" s="23">
        <v>0.153</v>
      </c>
      <c r="C6" s="12">
        <f t="shared" si="0"/>
        <v>3.0117994100294982</v>
      </c>
      <c r="D6" s="12">
        <v>3.0117994100294982</v>
      </c>
      <c r="E6" s="12">
        <f t="shared" si="1"/>
        <v>2.3156342182890852</v>
      </c>
      <c r="F6" s="23">
        <v>0.2</v>
      </c>
      <c r="G6" s="23">
        <v>5.8500000000000003E-2</v>
      </c>
      <c r="I6" s="23">
        <v>25</v>
      </c>
      <c r="J6" s="23">
        <v>0.54049999999999998</v>
      </c>
      <c r="K6" s="23">
        <v>12.494871794871793</v>
      </c>
      <c r="L6" s="23">
        <v>37.484615384615381</v>
      </c>
      <c r="P6" s="23">
        <v>3</v>
      </c>
      <c r="Q6" s="23">
        <v>0.14149999999999999</v>
      </c>
      <c r="R6" s="12">
        <f t="shared" si="2"/>
        <v>0.27304756312389888</v>
      </c>
      <c r="U6" s="30">
        <v>0.2</v>
      </c>
      <c r="V6" s="23">
        <v>0.113</v>
      </c>
    </row>
    <row r="7" spans="1:22" x14ac:dyDescent="0.2">
      <c r="A7" s="23">
        <v>4</v>
      </c>
      <c r="B7" s="23">
        <v>0.1915</v>
      </c>
      <c r="C7" s="12">
        <f t="shared" si="0"/>
        <v>4.1474926253687316</v>
      </c>
      <c r="D7" s="12">
        <v>4.1474926253687316</v>
      </c>
      <c r="E7" s="12">
        <f t="shared" si="1"/>
        <v>3.4513274336283186</v>
      </c>
      <c r="F7" s="23">
        <v>0.5</v>
      </c>
      <c r="G7" s="23">
        <v>6.6500000000000004E-2</v>
      </c>
      <c r="I7" s="23">
        <v>31</v>
      </c>
      <c r="J7" s="23">
        <v>0.58850000000000002</v>
      </c>
      <c r="K7" s="23">
        <v>13.725641025641025</v>
      </c>
      <c r="L7" s="23">
        <v>41.176923076923075</v>
      </c>
      <c r="P7" s="23">
        <v>4</v>
      </c>
      <c r="Q7" s="23">
        <v>0.2</v>
      </c>
      <c r="R7" s="12">
        <f t="shared" si="2"/>
        <v>0.6165590135055784</v>
      </c>
      <c r="U7" s="30">
        <v>0.5</v>
      </c>
      <c r="V7" s="23">
        <v>0.1875</v>
      </c>
    </row>
    <row r="8" spans="1:22" x14ac:dyDescent="0.2">
      <c r="A8" s="23">
        <v>5</v>
      </c>
      <c r="B8" s="23">
        <v>0.2495</v>
      </c>
      <c r="C8" s="12">
        <f t="shared" si="0"/>
        <v>5.8584070796460175</v>
      </c>
      <c r="D8" s="12">
        <v>5.8584070796460175</v>
      </c>
      <c r="E8" s="12">
        <f t="shared" si="1"/>
        <v>5.1622418879056049</v>
      </c>
      <c r="F8" s="23">
        <v>1</v>
      </c>
      <c r="G8" s="23">
        <v>8.4500000000000006E-2</v>
      </c>
      <c r="I8" s="23">
        <v>37</v>
      </c>
      <c r="J8" s="23">
        <v>0.40150000000000002</v>
      </c>
      <c r="K8" s="23">
        <v>8.9307692307692328</v>
      </c>
      <c r="L8" s="23">
        <v>26.792307692307698</v>
      </c>
      <c r="P8" s="23">
        <v>5</v>
      </c>
      <c r="Q8" s="23">
        <v>0.1275</v>
      </c>
      <c r="R8" s="12">
        <f t="shared" si="2"/>
        <v>0.19083969465648856</v>
      </c>
      <c r="U8" s="30">
        <v>1</v>
      </c>
      <c r="V8" s="23">
        <v>0.29299999999999998</v>
      </c>
    </row>
    <row r="9" spans="1:22" x14ac:dyDescent="0.2">
      <c r="A9" s="23">
        <v>6</v>
      </c>
      <c r="B9" s="23">
        <v>0.129</v>
      </c>
      <c r="C9" s="12">
        <f t="shared" si="0"/>
        <v>2.303834808259587</v>
      </c>
      <c r="D9" s="12">
        <v>2.303834808259587</v>
      </c>
      <c r="E9" s="12">
        <f t="shared" si="1"/>
        <v>1.6076696165191739</v>
      </c>
      <c r="F9" s="23">
        <v>2</v>
      </c>
      <c r="G9" s="23">
        <v>0.11799999999999999</v>
      </c>
      <c r="I9" s="23">
        <v>38</v>
      </c>
      <c r="J9" s="23">
        <v>0.48749999999999999</v>
      </c>
      <c r="K9" s="23">
        <v>11.135897435897437</v>
      </c>
      <c r="L9" s="23">
        <v>33.407692307692315</v>
      </c>
      <c r="P9" s="23">
        <v>6</v>
      </c>
      <c r="Q9" s="23">
        <v>0.22650000000000001</v>
      </c>
      <c r="R9" s="12">
        <f t="shared" si="2"/>
        <v>0.77216676453317679</v>
      </c>
      <c r="U9" s="30">
        <v>2</v>
      </c>
      <c r="V9" s="23">
        <v>0.49299999999999999</v>
      </c>
    </row>
    <row r="10" spans="1:22" x14ac:dyDescent="0.2">
      <c r="A10" s="23">
        <v>7</v>
      </c>
      <c r="B10" s="23">
        <v>0.46850000000000003</v>
      </c>
      <c r="C10" s="12">
        <f t="shared" si="0"/>
        <v>12.318584070796462</v>
      </c>
      <c r="D10" s="12">
        <v>12.318584070796462</v>
      </c>
      <c r="E10" s="12">
        <f t="shared" si="1"/>
        <v>11.622418879056049</v>
      </c>
      <c r="I10" s="23">
        <v>46</v>
      </c>
      <c r="J10" s="23">
        <v>0.5675</v>
      </c>
      <c r="K10" s="23">
        <v>13.187179487179487</v>
      </c>
      <c r="L10" s="23">
        <v>39.561538461538461</v>
      </c>
      <c r="P10" s="23">
        <v>7</v>
      </c>
      <c r="Q10" s="23">
        <v>0.183</v>
      </c>
      <c r="R10" s="12">
        <f t="shared" si="2"/>
        <v>0.51673517322372275</v>
      </c>
      <c r="U10" s="30">
        <v>5</v>
      </c>
      <c r="V10" s="23">
        <v>0.88849999999999996</v>
      </c>
    </row>
    <row r="11" spans="1:22" x14ac:dyDescent="0.2">
      <c r="A11" s="23">
        <v>8</v>
      </c>
      <c r="B11" s="23">
        <v>0.129</v>
      </c>
      <c r="C11" s="12">
        <f t="shared" si="0"/>
        <v>2.303834808259587</v>
      </c>
      <c r="D11" s="12">
        <v>2.303834808259587</v>
      </c>
      <c r="E11" s="12">
        <f t="shared" si="1"/>
        <v>1.6076696165191739</v>
      </c>
      <c r="F11" s="23">
        <v>10</v>
      </c>
      <c r="G11" s="23">
        <v>0.39450000000000002</v>
      </c>
      <c r="I11" s="23">
        <v>50</v>
      </c>
      <c r="J11" s="23">
        <v>0.64149999999999996</v>
      </c>
      <c r="K11" s="23">
        <v>15.084615384615383</v>
      </c>
      <c r="L11" s="23">
        <v>45.253846153846148</v>
      </c>
      <c r="P11" s="23">
        <v>8</v>
      </c>
      <c r="Q11" s="23">
        <v>0.17299999999999999</v>
      </c>
      <c r="R11" s="12">
        <f t="shared" si="2"/>
        <v>0.45801526717557239</v>
      </c>
      <c r="U11" s="30">
        <v>7</v>
      </c>
      <c r="V11" s="23">
        <v>1.2575000000000001</v>
      </c>
    </row>
    <row r="12" spans="1:22" x14ac:dyDescent="0.2">
      <c r="A12" s="23">
        <v>9</v>
      </c>
      <c r="B12" s="23">
        <v>0.1085</v>
      </c>
      <c r="C12" s="12">
        <f t="shared" si="0"/>
        <v>1.6991150442477876</v>
      </c>
      <c r="D12" s="12">
        <v>1.6991150442477876</v>
      </c>
      <c r="E12" s="12">
        <f t="shared" si="1"/>
        <v>1.0029498525073746</v>
      </c>
      <c r="F12" s="23">
        <v>20</v>
      </c>
      <c r="G12" s="23">
        <v>0.72699999999999998</v>
      </c>
      <c r="I12" s="23">
        <v>58</v>
      </c>
      <c r="J12" s="23">
        <v>0.39950000000000002</v>
      </c>
      <c r="K12" s="23">
        <v>8.8794871794871817</v>
      </c>
      <c r="L12" s="23">
        <v>26.638461538461545</v>
      </c>
      <c r="P12" s="23">
        <v>9</v>
      </c>
      <c r="Q12" s="23">
        <v>0.127</v>
      </c>
      <c r="R12" s="12">
        <f t="shared" si="2"/>
        <v>0.18790369935408102</v>
      </c>
      <c r="U12" s="30">
        <v>10</v>
      </c>
      <c r="V12" s="23">
        <v>1.8340000000000001</v>
      </c>
    </row>
    <row r="13" spans="1:22" x14ac:dyDescent="0.2">
      <c r="A13" s="23">
        <v>10</v>
      </c>
      <c r="B13" s="23">
        <v>0.21149999999999999</v>
      </c>
      <c r="C13" s="12">
        <f t="shared" si="0"/>
        <v>4.7374631268436573</v>
      </c>
      <c r="D13" s="12">
        <v>4.7374631268436573</v>
      </c>
      <c r="E13" s="12">
        <f t="shared" si="1"/>
        <v>4.0412979351032448</v>
      </c>
      <c r="P13" s="23">
        <v>10</v>
      </c>
      <c r="Q13" s="23">
        <v>0.17899999999999999</v>
      </c>
      <c r="R13" s="12">
        <f t="shared" si="2"/>
        <v>0.49324721080446265</v>
      </c>
    </row>
    <row r="14" spans="1:22" x14ac:dyDescent="0.2">
      <c r="A14" s="23">
        <v>11</v>
      </c>
      <c r="B14" s="23">
        <v>0.123</v>
      </c>
      <c r="C14" s="12">
        <f t="shared" si="0"/>
        <v>2.1268436578171093</v>
      </c>
      <c r="D14" s="12">
        <v>2.1268436578171093</v>
      </c>
      <c r="E14" s="12">
        <f t="shared" si="1"/>
        <v>1.4306784660766962</v>
      </c>
      <c r="F14" s="13">
        <v>5</v>
      </c>
      <c r="G14" s="13">
        <v>0.184</v>
      </c>
      <c r="P14" s="23">
        <v>11</v>
      </c>
      <c r="Q14" s="23">
        <v>0.16600000000000001</v>
      </c>
      <c r="R14" s="12">
        <f t="shared" si="2"/>
        <v>0.41691133294186733</v>
      </c>
    </row>
    <row r="15" spans="1:22" x14ac:dyDescent="0.2">
      <c r="A15" s="23">
        <v>12</v>
      </c>
      <c r="B15" s="23">
        <v>0.27850000000000003</v>
      </c>
      <c r="C15" s="12">
        <f t="shared" si="0"/>
        <v>6.7138643067846617</v>
      </c>
      <c r="D15" s="12">
        <v>6.7138643067846617</v>
      </c>
      <c r="E15" s="12">
        <f t="shared" si="1"/>
        <v>6.0176991150442491</v>
      </c>
      <c r="P15" s="23">
        <v>12</v>
      </c>
      <c r="Q15" s="23">
        <v>0.159</v>
      </c>
      <c r="R15" s="12">
        <f t="shared" si="2"/>
        <v>0.37580739870816204</v>
      </c>
    </row>
    <row r="16" spans="1:22" x14ac:dyDescent="0.2">
      <c r="A16" s="23">
        <v>13</v>
      </c>
      <c r="B16" s="23">
        <v>1.147</v>
      </c>
      <c r="C16" s="12">
        <f t="shared" si="0"/>
        <v>32.333333333333336</v>
      </c>
      <c r="D16" s="12">
        <v>36.984615384615388</v>
      </c>
      <c r="E16" s="12">
        <f t="shared" si="1"/>
        <v>36.288450192874976</v>
      </c>
      <c r="P16" s="23">
        <v>13</v>
      </c>
      <c r="Q16" s="23">
        <v>0.1885</v>
      </c>
      <c r="R16" s="12">
        <f t="shared" si="2"/>
        <v>0.5490311215502055</v>
      </c>
    </row>
    <row r="17" spans="1:18" x14ac:dyDescent="0.2">
      <c r="A17" s="23">
        <v>14</v>
      </c>
      <c r="B17" s="23">
        <v>0.42249999999999999</v>
      </c>
      <c r="C17" s="12">
        <f t="shared" si="0"/>
        <v>10.961651917404129</v>
      </c>
      <c r="D17" s="12">
        <v>10.961651917404129</v>
      </c>
      <c r="E17" s="12">
        <f t="shared" si="1"/>
        <v>10.265486725663717</v>
      </c>
      <c r="P17" s="23">
        <v>14</v>
      </c>
      <c r="Q17" s="23">
        <v>0.19350000000000001</v>
      </c>
      <c r="R17" s="12">
        <f t="shared" si="2"/>
        <v>0.57839107457428063</v>
      </c>
    </row>
    <row r="18" spans="1:18" x14ac:dyDescent="0.2">
      <c r="A18" s="23">
        <v>15</v>
      </c>
      <c r="B18" s="23">
        <v>0.32700000000000001</v>
      </c>
      <c r="C18" s="12">
        <f t="shared" si="0"/>
        <v>8.1445427728613566</v>
      </c>
      <c r="D18" s="12">
        <v>8.1445427728613566</v>
      </c>
      <c r="E18" s="12">
        <f t="shared" si="1"/>
        <v>7.4483775811209441</v>
      </c>
      <c r="P18" s="23">
        <v>15</v>
      </c>
      <c r="Q18" s="23">
        <v>0.151</v>
      </c>
      <c r="R18" s="12">
        <f t="shared" si="2"/>
        <v>0.32883147386964179</v>
      </c>
    </row>
    <row r="19" spans="1:18" x14ac:dyDescent="0.2">
      <c r="A19" s="23">
        <v>16</v>
      </c>
      <c r="B19" s="23">
        <v>0.224</v>
      </c>
      <c r="C19" s="12">
        <f t="shared" si="0"/>
        <v>5.1061946902654869</v>
      </c>
      <c r="D19" s="12">
        <v>5.1061946902654869</v>
      </c>
      <c r="E19" s="12">
        <f t="shared" si="1"/>
        <v>4.4100294985250743</v>
      </c>
      <c r="P19" s="23">
        <v>16</v>
      </c>
      <c r="Q19" s="23">
        <v>0.21099999999999999</v>
      </c>
      <c r="R19" s="12">
        <f t="shared" si="2"/>
        <v>0.68115091015854368</v>
      </c>
    </row>
    <row r="20" spans="1:18" x14ac:dyDescent="0.2">
      <c r="A20" s="23">
        <v>17</v>
      </c>
      <c r="B20" s="23">
        <v>0.10100000000000001</v>
      </c>
      <c r="C20" s="12">
        <f t="shared" si="0"/>
        <v>1.4778761061946903</v>
      </c>
      <c r="D20" s="12">
        <v>1.4778761061946903</v>
      </c>
      <c r="E20" s="12">
        <f t="shared" si="1"/>
        <v>0.78171091445427743</v>
      </c>
      <c r="P20" s="23">
        <v>17</v>
      </c>
      <c r="Q20" s="23">
        <v>0.126</v>
      </c>
      <c r="R20" s="12">
        <f t="shared" si="2"/>
        <v>0.182031708749266</v>
      </c>
    </row>
    <row r="21" spans="1:18" x14ac:dyDescent="0.2">
      <c r="A21" s="23">
        <v>18</v>
      </c>
      <c r="B21" s="23">
        <v>0.10100000000000001</v>
      </c>
      <c r="C21" s="12">
        <f t="shared" si="0"/>
        <v>1.4778761061946903</v>
      </c>
      <c r="D21" s="12">
        <v>1.4778761061946903</v>
      </c>
      <c r="E21" s="12">
        <f t="shared" si="1"/>
        <v>0.78171091445427743</v>
      </c>
      <c r="P21" s="23">
        <v>18</v>
      </c>
      <c r="Q21" s="23">
        <v>0.2145</v>
      </c>
      <c r="R21" s="12">
        <f t="shared" si="2"/>
        <v>0.70170287727539626</v>
      </c>
    </row>
    <row r="22" spans="1:18" x14ac:dyDescent="0.2">
      <c r="A22" s="23">
        <v>19</v>
      </c>
      <c r="B22" s="23">
        <v>0.36049999999999999</v>
      </c>
      <c r="C22" s="12">
        <f t="shared" si="0"/>
        <v>9.1327433628318584</v>
      </c>
      <c r="D22" s="12">
        <v>9.1327433628318584</v>
      </c>
      <c r="E22" s="12">
        <f t="shared" si="1"/>
        <v>8.4365781710914458</v>
      </c>
      <c r="P22" s="23">
        <v>19</v>
      </c>
      <c r="Q22" s="23">
        <v>0.16650000000000001</v>
      </c>
      <c r="R22" s="12">
        <f t="shared" si="2"/>
        <v>0.41984732824427484</v>
      </c>
    </row>
    <row r="23" spans="1:18" x14ac:dyDescent="0.2">
      <c r="A23" s="23">
        <v>20</v>
      </c>
      <c r="B23" s="23">
        <v>1.008</v>
      </c>
      <c r="C23" s="12">
        <f t="shared" si="0"/>
        <v>28.233038348082598</v>
      </c>
      <c r="D23" s="12">
        <v>33.176923076923075</v>
      </c>
      <c r="E23" s="12">
        <f t="shared" si="1"/>
        <v>32.480757885182662</v>
      </c>
      <c r="P23" s="23">
        <v>20</v>
      </c>
      <c r="Q23" s="23">
        <v>0.16</v>
      </c>
      <c r="R23" s="12">
        <f t="shared" si="2"/>
        <v>0.38167938931297712</v>
      </c>
    </row>
    <row r="24" spans="1:18" x14ac:dyDescent="0.2">
      <c r="A24" s="23">
        <v>21</v>
      </c>
      <c r="B24" s="23">
        <v>0.16650000000000001</v>
      </c>
      <c r="C24" s="12">
        <f t="shared" si="0"/>
        <v>3.4100294985250739</v>
      </c>
      <c r="D24" s="12">
        <v>3.4100294985250739</v>
      </c>
      <c r="E24" s="12">
        <f t="shared" si="1"/>
        <v>2.7138643067846608</v>
      </c>
      <c r="P24" s="23">
        <v>21</v>
      </c>
      <c r="Q24" s="23">
        <v>0.1865</v>
      </c>
      <c r="R24" s="12">
        <f t="shared" si="2"/>
        <v>0.53728714034057545</v>
      </c>
    </row>
    <row r="25" spans="1:18" x14ac:dyDescent="0.2">
      <c r="A25" s="23">
        <v>22</v>
      </c>
      <c r="B25" s="23">
        <v>0.10199999999999999</v>
      </c>
      <c r="C25" s="12">
        <f t="shared" si="0"/>
        <v>1.5073746312684364</v>
      </c>
      <c r="D25" s="12">
        <v>1.5073746312684364</v>
      </c>
      <c r="E25" s="12">
        <f t="shared" si="1"/>
        <v>0.81120943952802349</v>
      </c>
      <c r="P25" s="23">
        <v>22</v>
      </c>
      <c r="Q25" s="23">
        <v>0.16850000000000001</v>
      </c>
      <c r="R25" s="12">
        <f t="shared" si="2"/>
        <v>0.43159130945390489</v>
      </c>
    </row>
    <row r="26" spans="1:18" x14ac:dyDescent="0.2">
      <c r="A26" s="23">
        <v>23</v>
      </c>
      <c r="B26" s="23">
        <v>0.23649999999999999</v>
      </c>
      <c r="C26" s="12">
        <f t="shared" si="0"/>
        <v>5.4749262536873156</v>
      </c>
      <c r="D26" s="12">
        <v>5.4749262536873156</v>
      </c>
      <c r="E26" s="12">
        <f t="shared" si="1"/>
        <v>4.778761061946903</v>
      </c>
      <c r="P26" s="23">
        <v>23</v>
      </c>
      <c r="Q26" s="23">
        <v>0.20549999999999999</v>
      </c>
      <c r="R26" s="12">
        <f t="shared" si="2"/>
        <v>0.64885496183206093</v>
      </c>
    </row>
    <row r="27" spans="1:18" x14ac:dyDescent="0.2">
      <c r="A27" s="23">
        <v>24</v>
      </c>
      <c r="B27" s="23">
        <v>0.19900000000000001</v>
      </c>
      <c r="C27" s="12">
        <f t="shared" si="0"/>
        <v>4.3687315634218296</v>
      </c>
      <c r="D27" s="12">
        <v>4.3687315634218296</v>
      </c>
      <c r="E27" s="12">
        <f t="shared" si="1"/>
        <v>3.6725663716814165</v>
      </c>
      <c r="P27" s="23">
        <v>24</v>
      </c>
      <c r="Q27" s="23">
        <v>0.216</v>
      </c>
      <c r="R27" s="12">
        <f t="shared" si="2"/>
        <v>0.71051086318261891</v>
      </c>
    </row>
    <row r="28" spans="1:18" x14ac:dyDescent="0.2">
      <c r="A28" s="23">
        <v>25</v>
      </c>
      <c r="B28" s="23">
        <v>1.149</v>
      </c>
      <c r="C28" s="12">
        <f t="shared" si="0"/>
        <v>32.392330383480825</v>
      </c>
      <c r="D28" s="12">
        <v>37.484615384615381</v>
      </c>
      <c r="E28" s="12">
        <f t="shared" si="1"/>
        <v>36.788450192874969</v>
      </c>
      <c r="P28" s="23">
        <v>25</v>
      </c>
      <c r="Q28" s="23">
        <v>0.2215</v>
      </c>
      <c r="R28" s="12">
        <f t="shared" si="2"/>
        <v>0.74280681150910155</v>
      </c>
    </row>
    <row r="29" spans="1:18" x14ac:dyDescent="0.2">
      <c r="A29" s="23">
        <v>26</v>
      </c>
      <c r="B29" s="23">
        <v>0.1245</v>
      </c>
      <c r="C29" s="12">
        <f t="shared" si="0"/>
        <v>2.1710914454277286</v>
      </c>
      <c r="D29" s="12">
        <v>2.1710914454277286</v>
      </c>
      <c r="E29" s="12">
        <f t="shared" si="1"/>
        <v>1.4749262536873156</v>
      </c>
      <c r="P29" s="23">
        <v>26</v>
      </c>
      <c r="Q29" s="23">
        <v>0.14299999999999999</v>
      </c>
      <c r="R29" s="12">
        <f t="shared" si="2"/>
        <v>0.28185554903112148</v>
      </c>
    </row>
    <row r="30" spans="1:18" x14ac:dyDescent="0.2">
      <c r="A30" s="23">
        <v>27</v>
      </c>
      <c r="B30" s="23">
        <v>0.2205</v>
      </c>
      <c r="C30" s="12">
        <f t="shared" si="0"/>
        <v>5.002949852507375</v>
      </c>
      <c r="D30" s="12">
        <v>5.002949852507375</v>
      </c>
      <c r="E30" s="12">
        <f t="shared" si="1"/>
        <v>4.3067846607669624</v>
      </c>
      <c r="P30" s="23">
        <v>27</v>
      </c>
      <c r="Q30" s="23">
        <v>0.13950000000000001</v>
      </c>
      <c r="R30" s="12">
        <f t="shared" si="2"/>
        <v>0.261303581914269</v>
      </c>
    </row>
    <row r="31" spans="1:18" x14ac:dyDescent="0.2">
      <c r="A31" s="23">
        <v>28</v>
      </c>
      <c r="B31" s="23">
        <v>0.18049999999999999</v>
      </c>
      <c r="C31" s="12">
        <f t="shared" si="0"/>
        <v>3.8230088495575218</v>
      </c>
      <c r="D31" s="12">
        <v>3.8230088495575218</v>
      </c>
      <c r="E31" s="12">
        <f t="shared" si="1"/>
        <v>3.1268436578171088</v>
      </c>
      <c r="P31" s="23">
        <v>28</v>
      </c>
      <c r="Q31" s="23">
        <v>0.24049999999999999</v>
      </c>
      <c r="R31" s="12">
        <f t="shared" si="2"/>
        <v>0.85437463300058714</v>
      </c>
    </row>
    <row r="32" spans="1:18" x14ac:dyDescent="0.2">
      <c r="A32" s="23">
        <v>29</v>
      </c>
      <c r="B32" s="23">
        <v>0.124</v>
      </c>
      <c r="C32" s="12">
        <f t="shared" si="0"/>
        <v>2.1563421828908553</v>
      </c>
      <c r="D32" s="12">
        <v>2.1563421828908553</v>
      </c>
      <c r="E32" s="12">
        <f t="shared" si="1"/>
        <v>1.4601769911504423</v>
      </c>
      <c r="P32" s="23">
        <v>29</v>
      </c>
      <c r="Q32" s="23">
        <v>0.14549999999999999</v>
      </c>
      <c r="R32" s="12">
        <f t="shared" si="2"/>
        <v>0.29653552554315904</v>
      </c>
    </row>
    <row r="33" spans="1:18" x14ac:dyDescent="0.2">
      <c r="A33" s="23">
        <v>30</v>
      </c>
      <c r="B33" s="23">
        <v>0.32600000000000001</v>
      </c>
      <c r="C33" s="12">
        <f t="shared" si="0"/>
        <v>8.1150442477876119</v>
      </c>
      <c r="D33" s="12">
        <v>8.1150442477876119</v>
      </c>
      <c r="E33" s="12">
        <f t="shared" si="1"/>
        <v>7.4188790560471993</v>
      </c>
      <c r="P33" s="23">
        <v>30</v>
      </c>
      <c r="Q33" s="23">
        <v>0.26300000000000001</v>
      </c>
      <c r="R33" s="12">
        <f t="shared" si="2"/>
        <v>0.98649442160892542</v>
      </c>
    </row>
    <row r="34" spans="1:18" x14ac:dyDescent="0.2">
      <c r="A34" s="23">
        <v>31</v>
      </c>
      <c r="B34" s="23">
        <v>1.2549999999999999</v>
      </c>
      <c r="C34" s="12">
        <f t="shared" si="0"/>
        <v>35.519174041297937</v>
      </c>
      <c r="D34" s="12">
        <v>41.176923076923075</v>
      </c>
      <c r="E34" s="12">
        <f t="shared" si="1"/>
        <v>40.480757885182662</v>
      </c>
      <c r="P34" s="23">
        <v>31</v>
      </c>
      <c r="Q34" s="23">
        <v>0.185</v>
      </c>
      <c r="R34" s="12">
        <f t="shared" si="2"/>
        <v>0.52847915443335292</v>
      </c>
    </row>
    <row r="35" spans="1:18" x14ac:dyDescent="0.2">
      <c r="A35" s="23">
        <v>32</v>
      </c>
      <c r="B35" s="23">
        <v>0.14399999999999999</v>
      </c>
      <c r="C35" s="12">
        <f t="shared" si="0"/>
        <v>2.7463126843657815</v>
      </c>
      <c r="D35" s="12">
        <v>2.7463126843657815</v>
      </c>
      <c r="E35" s="12">
        <f t="shared" si="1"/>
        <v>2.0501474926253684</v>
      </c>
      <c r="P35" s="23">
        <v>32</v>
      </c>
      <c r="Q35" s="23">
        <v>0.182</v>
      </c>
      <c r="R35" s="12">
        <f t="shared" si="2"/>
        <v>0.51086318261890773</v>
      </c>
    </row>
    <row r="36" spans="1:18" x14ac:dyDescent="0.2">
      <c r="A36" s="23">
        <v>33</v>
      </c>
      <c r="B36" s="23">
        <v>0.156</v>
      </c>
      <c r="C36" s="12">
        <f t="shared" si="0"/>
        <v>3.1002949852507373</v>
      </c>
      <c r="D36" s="12">
        <v>3.1002949852507373</v>
      </c>
      <c r="E36" s="12">
        <f t="shared" si="1"/>
        <v>2.4041297935103243</v>
      </c>
      <c r="P36" s="23">
        <v>33</v>
      </c>
      <c r="Q36" s="23">
        <v>0.16650000000000001</v>
      </c>
      <c r="R36" s="12">
        <f t="shared" si="2"/>
        <v>0.41984732824427484</v>
      </c>
    </row>
    <row r="37" spans="1:18" x14ac:dyDescent="0.2">
      <c r="A37" s="23">
        <v>34</v>
      </c>
      <c r="B37" s="23">
        <v>0.22</v>
      </c>
      <c r="C37" s="12">
        <f t="shared" si="0"/>
        <v>4.9882005899705018</v>
      </c>
      <c r="D37" s="12">
        <v>4.9882005899705018</v>
      </c>
      <c r="E37" s="12">
        <f t="shared" si="1"/>
        <v>4.2920353982300892</v>
      </c>
      <c r="P37" s="23">
        <v>34</v>
      </c>
      <c r="Q37" s="23">
        <v>0.16600000000000001</v>
      </c>
      <c r="R37" s="12">
        <f t="shared" si="2"/>
        <v>0.41691133294186733</v>
      </c>
    </row>
    <row r="38" spans="1:18" x14ac:dyDescent="0.2">
      <c r="A38" s="23">
        <v>35</v>
      </c>
      <c r="B38" s="23">
        <v>0.10249999999999999</v>
      </c>
      <c r="C38" s="12">
        <f t="shared" si="0"/>
        <v>1.5221238938053097</v>
      </c>
      <c r="D38" s="12">
        <v>1.5221238938053097</v>
      </c>
      <c r="E38" s="12">
        <f t="shared" si="1"/>
        <v>0.82595870206489674</v>
      </c>
      <c r="P38" s="23">
        <v>35</v>
      </c>
      <c r="Q38" s="23">
        <v>0.122</v>
      </c>
      <c r="R38" s="12">
        <f t="shared" si="2"/>
        <v>0.15854374633000584</v>
      </c>
    </row>
    <row r="39" spans="1:18" x14ac:dyDescent="0.2">
      <c r="A39" s="23">
        <v>36</v>
      </c>
      <c r="B39" s="23">
        <v>0.47949999999999998</v>
      </c>
      <c r="C39" s="12">
        <f t="shared" si="0"/>
        <v>12.64306784660767</v>
      </c>
      <c r="D39" s="12">
        <v>12.64306784660767</v>
      </c>
      <c r="E39" s="12">
        <f t="shared" si="1"/>
        <v>11.946902654867257</v>
      </c>
      <c r="P39" s="23">
        <v>36</v>
      </c>
      <c r="Q39" s="23">
        <v>0.191</v>
      </c>
      <c r="R39" s="12">
        <f t="shared" si="2"/>
        <v>0.56371109806224307</v>
      </c>
    </row>
    <row r="40" spans="1:18" x14ac:dyDescent="0.2">
      <c r="A40" s="23">
        <v>37</v>
      </c>
      <c r="B40" s="23">
        <v>0.86499999999999999</v>
      </c>
      <c r="C40" s="12">
        <f t="shared" si="0"/>
        <v>24.014749262536874</v>
      </c>
      <c r="D40" s="12">
        <v>26.792307692307698</v>
      </c>
      <c r="E40" s="12">
        <f t="shared" si="1"/>
        <v>26.096142500567286</v>
      </c>
      <c r="P40" s="23">
        <v>37</v>
      </c>
      <c r="Q40" s="23">
        <v>0.28100000000000003</v>
      </c>
      <c r="R40" s="12">
        <f t="shared" si="2"/>
        <v>1.0921902524955962</v>
      </c>
    </row>
    <row r="41" spans="1:18" x14ac:dyDescent="0.2">
      <c r="A41" s="23">
        <v>38</v>
      </c>
      <c r="B41" s="23">
        <v>0.99399999999999999</v>
      </c>
      <c r="C41" s="12">
        <f t="shared" si="0"/>
        <v>27.82005899705015</v>
      </c>
      <c r="D41" s="12">
        <v>33.407692307692315</v>
      </c>
      <c r="E41" s="12">
        <f t="shared" si="1"/>
        <v>32.711527115951903</v>
      </c>
      <c r="P41" s="23">
        <v>38</v>
      </c>
      <c r="Q41" s="23">
        <v>0.21199999999999999</v>
      </c>
      <c r="R41" s="12">
        <f t="shared" si="2"/>
        <v>0.6870229007633587</v>
      </c>
    </row>
    <row r="42" spans="1:18" x14ac:dyDescent="0.2">
      <c r="A42" s="23">
        <v>39</v>
      </c>
      <c r="B42" s="23">
        <v>0.24399999999999999</v>
      </c>
      <c r="C42" s="12">
        <f t="shared" si="0"/>
        <v>5.6961651917404126</v>
      </c>
      <c r="D42" s="12">
        <v>5.6961651917404126</v>
      </c>
      <c r="E42" s="12">
        <f t="shared" si="1"/>
        <v>5</v>
      </c>
      <c r="P42" s="23">
        <v>39</v>
      </c>
      <c r="Q42" s="23">
        <v>0.17699999999999999</v>
      </c>
      <c r="R42" s="12">
        <f t="shared" si="2"/>
        <v>0.48150322959483255</v>
      </c>
    </row>
    <row r="43" spans="1:18" x14ac:dyDescent="0.2">
      <c r="A43" s="23">
        <v>40</v>
      </c>
      <c r="B43" s="23">
        <v>0.108</v>
      </c>
      <c r="C43" s="12">
        <f t="shared" si="0"/>
        <v>1.6843657817109143</v>
      </c>
      <c r="D43" s="12">
        <v>1.6843657817109143</v>
      </c>
      <c r="E43" s="12">
        <f t="shared" si="1"/>
        <v>0.98820058997050142</v>
      </c>
      <c r="P43" s="23">
        <v>40</v>
      </c>
      <c r="Q43" s="23">
        <v>0.28149999999999997</v>
      </c>
      <c r="R43" s="12">
        <f t="shared" si="2"/>
        <v>1.0951262477980033</v>
      </c>
    </row>
    <row r="44" spans="1:18" x14ac:dyDescent="0.2">
      <c r="A44" s="23">
        <v>41</v>
      </c>
      <c r="B44" s="23">
        <v>0.11650000000000001</v>
      </c>
      <c r="C44" s="12">
        <f t="shared" si="0"/>
        <v>1.9351032448377583</v>
      </c>
      <c r="D44" s="12">
        <v>1.9351032448377583</v>
      </c>
      <c r="E44" s="12">
        <f t="shared" si="1"/>
        <v>1.2389380530973453</v>
      </c>
      <c r="P44" s="23">
        <v>41</v>
      </c>
      <c r="Q44" s="23">
        <v>0.16750000000000001</v>
      </c>
      <c r="R44" s="12">
        <f t="shared" si="2"/>
        <v>0.42571931884908987</v>
      </c>
    </row>
    <row r="45" spans="1:18" x14ac:dyDescent="0.2">
      <c r="A45" s="23">
        <v>42</v>
      </c>
      <c r="B45" s="23">
        <v>0.216</v>
      </c>
      <c r="C45" s="12">
        <f t="shared" si="0"/>
        <v>4.8702064896755166</v>
      </c>
      <c r="D45" s="12">
        <v>4.8702064896755166</v>
      </c>
      <c r="E45" s="12">
        <f t="shared" si="1"/>
        <v>4.174041297935104</v>
      </c>
      <c r="P45" s="23">
        <v>42</v>
      </c>
      <c r="Q45" s="23">
        <v>0.23499999999999999</v>
      </c>
      <c r="R45" s="12">
        <f t="shared" si="2"/>
        <v>0.82207868467410439</v>
      </c>
    </row>
    <row r="46" spans="1:18" x14ac:dyDescent="0.2">
      <c r="A46" s="23">
        <v>43</v>
      </c>
      <c r="B46" s="23">
        <v>0.17799999999999999</v>
      </c>
      <c r="C46" s="12">
        <f t="shared" si="0"/>
        <v>3.749262536873156</v>
      </c>
      <c r="D46" s="12">
        <v>3.749262536873156</v>
      </c>
      <c r="E46" s="12">
        <f t="shared" si="1"/>
        <v>3.053097345132743</v>
      </c>
      <c r="P46" s="23">
        <v>43</v>
      </c>
      <c r="Q46" s="23">
        <v>0.15049999999999999</v>
      </c>
      <c r="R46" s="12">
        <f t="shared" si="2"/>
        <v>0.32589547856723422</v>
      </c>
    </row>
    <row r="47" spans="1:18" x14ac:dyDescent="0.2">
      <c r="A47" s="23">
        <v>44</v>
      </c>
      <c r="B47" s="23">
        <v>0.38800000000000001</v>
      </c>
      <c r="C47" s="12">
        <f t="shared" si="0"/>
        <v>9.9439528023598829</v>
      </c>
      <c r="D47" s="12">
        <v>9.9439528023598829</v>
      </c>
      <c r="E47" s="12">
        <f t="shared" si="1"/>
        <v>9.2477876106194703</v>
      </c>
      <c r="P47" s="23">
        <v>44</v>
      </c>
      <c r="Q47" s="23">
        <v>0.19500000000000001</v>
      </c>
      <c r="R47" s="12">
        <f t="shared" si="2"/>
        <v>0.58719906048150328</v>
      </c>
    </row>
    <row r="48" spans="1:18" x14ac:dyDescent="0.2">
      <c r="A48" s="23">
        <v>45</v>
      </c>
      <c r="B48" s="23">
        <v>0.27650000000000002</v>
      </c>
      <c r="C48" s="12">
        <f t="shared" si="0"/>
        <v>6.6548672566371687</v>
      </c>
      <c r="D48" s="12">
        <v>6.6548672566371687</v>
      </c>
      <c r="E48" s="12">
        <f t="shared" si="1"/>
        <v>5.9587020648967561</v>
      </c>
      <c r="P48" s="23">
        <v>45</v>
      </c>
      <c r="Q48" s="23">
        <v>0.17799999999999999</v>
      </c>
      <c r="R48" s="12">
        <f t="shared" si="2"/>
        <v>0.48737522019964763</v>
      </c>
    </row>
    <row r="49" spans="1:18" x14ac:dyDescent="0.2">
      <c r="A49" s="23">
        <v>46</v>
      </c>
      <c r="B49" s="23">
        <v>1.1865000000000001</v>
      </c>
      <c r="C49" s="12">
        <f t="shared" si="0"/>
        <v>33.498525073746315</v>
      </c>
      <c r="D49" s="12">
        <v>39.561538461538461</v>
      </c>
      <c r="E49" s="12">
        <f t="shared" si="1"/>
        <v>38.865373269798049</v>
      </c>
      <c r="P49" s="23">
        <v>46</v>
      </c>
      <c r="Q49" s="23">
        <v>0.2225</v>
      </c>
      <c r="R49" s="12">
        <f t="shared" si="2"/>
        <v>0.74867880211391657</v>
      </c>
    </row>
    <row r="50" spans="1:18" x14ac:dyDescent="0.2">
      <c r="A50" s="23">
        <v>47</v>
      </c>
      <c r="B50" s="23">
        <v>0.20899999999999999</v>
      </c>
      <c r="C50" s="12">
        <f t="shared" si="0"/>
        <v>4.663716814159292</v>
      </c>
      <c r="D50" s="12">
        <v>4.663716814159292</v>
      </c>
      <c r="E50" s="12">
        <f t="shared" si="1"/>
        <v>3.9675516224188789</v>
      </c>
      <c r="P50" s="23">
        <v>47</v>
      </c>
      <c r="Q50" s="23">
        <v>0.20499999999999999</v>
      </c>
      <c r="R50" s="12">
        <f t="shared" si="2"/>
        <v>0.64591896652965342</v>
      </c>
    </row>
    <row r="51" spans="1:18" x14ac:dyDescent="0.2">
      <c r="A51" s="23">
        <v>48</v>
      </c>
      <c r="B51" s="23">
        <v>0.29899999999999999</v>
      </c>
      <c r="C51" s="12">
        <f t="shared" si="0"/>
        <v>7.3185840707964598</v>
      </c>
      <c r="D51" s="12">
        <v>7.3185840707964598</v>
      </c>
      <c r="E51" s="12">
        <f t="shared" si="1"/>
        <v>6.6224188790560472</v>
      </c>
      <c r="P51" s="23">
        <v>48</v>
      </c>
      <c r="Q51" s="23">
        <v>0.2</v>
      </c>
      <c r="R51" s="12">
        <f t="shared" si="2"/>
        <v>0.6165590135055784</v>
      </c>
    </row>
    <row r="52" spans="1:18" x14ac:dyDescent="0.2">
      <c r="A52" s="23">
        <v>49</v>
      </c>
      <c r="B52" s="23">
        <v>0.41199999999999998</v>
      </c>
      <c r="C52" s="12">
        <f t="shared" si="0"/>
        <v>10.651917404129794</v>
      </c>
      <c r="D52" s="12">
        <v>10.651917404129794</v>
      </c>
      <c r="E52" s="12">
        <f t="shared" si="1"/>
        <v>9.9557522123893811</v>
      </c>
      <c r="P52" s="23">
        <v>49</v>
      </c>
      <c r="Q52" s="23">
        <v>0.191</v>
      </c>
      <c r="R52" s="12">
        <f t="shared" si="2"/>
        <v>0.56371109806224307</v>
      </c>
    </row>
    <row r="53" spans="1:18" x14ac:dyDescent="0.2">
      <c r="A53" s="23">
        <v>50</v>
      </c>
      <c r="B53" s="23">
        <v>1.389</v>
      </c>
      <c r="C53" s="12">
        <f t="shared" si="0"/>
        <v>39.471976401179944</v>
      </c>
      <c r="D53" s="12">
        <v>45.253846153846148</v>
      </c>
      <c r="E53" s="12">
        <f t="shared" si="1"/>
        <v>44.557680962105735</v>
      </c>
      <c r="P53" s="23">
        <v>50</v>
      </c>
      <c r="Q53" s="23">
        <v>0.18149999999999999</v>
      </c>
      <c r="R53" s="12">
        <f t="shared" si="2"/>
        <v>0.50792718731650022</v>
      </c>
    </row>
    <row r="54" spans="1:18" x14ac:dyDescent="0.2">
      <c r="A54" s="23">
        <v>51</v>
      </c>
      <c r="B54" s="23">
        <v>0.17799999999999999</v>
      </c>
      <c r="C54" s="12">
        <f t="shared" si="0"/>
        <v>3.749262536873156</v>
      </c>
      <c r="D54" s="12">
        <v>3.749262536873156</v>
      </c>
      <c r="E54" s="12">
        <f t="shared" si="1"/>
        <v>3.053097345132743</v>
      </c>
      <c r="P54" s="23">
        <v>51</v>
      </c>
      <c r="Q54" s="23">
        <v>0.1615</v>
      </c>
      <c r="R54" s="12">
        <f t="shared" si="2"/>
        <v>0.39048737522019966</v>
      </c>
    </row>
    <row r="55" spans="1:18" x14ac:dyDescent="0.2">
      <c r="A55" s="23">
        <v>52</v>
      </c>
      <c r="B55" s="23">
        <v>0.11600000000000001</v>
      </c>
      <c r="C55" s="12">
        <f t="shared" si="0"/>
        <v>1.9203539823008851</v>
      </c>
      <c r="D55" s="12">
        <v>1.9203539823008851</v>
      </c>
      <c r="E55" s="12">
        <f t="shared" si="1"/>
        <v>1.224188790560472</v>
      </c>
      <c r="P55" s="23">
        <v>52</v>
      </c>
      <c r="Q55" s="23">
        <v>0.17799999999999999</v>
      </c>
      <c r="R55" s="12">
        <f t="shared" si="2"/>
        <v>0.48737522019964763</v>
      </c>
    </row>
    <row r="56" spans="1:18" x14ac:dyDescent="0.2">
      <c r="A56" s="23">
        <v>53</v>
      </c>
      <c r="B56" s="23">
        <v>0.1135</v>
      </c>
      <c r="C56" s="12">
        <f t="shared" si="0"/>
        <v>1.8466076696165192</v>
      </c>
      <c r="D56" s="12">
        <v>1.8466076696165192</v>
      </c>
      <c r="E56" s="12">
        <f t="shared" si="1"/>
        <v>1.1504424778761062</v>
      </c>
      <c r="P56" s="23">
        <v>53</v>
      </c>
      <c r="Q56" s="23">
        <v>0.1575</v>
      </c>
      <c r="R56" s="12">
        <f t="shared" si="2"/>
        <v>0.36699941280093951</v>
      </c>
    </row>
    <row r="57" spans="1:18" x14ac:dyDescent="0.2">
      <c r="A57" s="23">
        <v>54</v>
      </c>
      <c r="B57" s="23">
        <v>0.23649999999999999</v>
      </c>
      <c r="C57" s="12">
        <f t="shared" si="0"/>
        <v>5.4749262536873156</v>
      </c>
      <c r="D57" s="12">
        <v>5.4749262536873156</v>
      </c>
      <c r="E57" s="12">
        <f t="shared" si="1"/>
        <v>4.778761061946903</v>
      </c>
      <c r="P57" s="23">
        <v>54</v>
      </c>
      <c r="Q57" s="23">
        <v>0.26350000000000001</v>
      </c>
      <c r="R57" s="12">
        <f t="shared" si="2"/>
        <v>0.98943041691133293</v>
      </c>
    </row>
    <row r="58" spans="1:18" x14ac:dyDescent="0.2">
      <c r="A58" s="23">
        <v>55</v>
      </c>
      <c r="B58" s="23">
        <v>0.14199999999999999</v>
      </c>
      <c r="C58" s="12">
        <f t="shared" si="0"/>
        <v>2.6873156342182889</v>
      </c>
      <c r="D58" s="12">
        <v>2.6873156342182889</v>
      </c>
      <c r="E58" s="12">
        <f t="shared" si="1"/>
        <v>1.9911504424778759</v>
      </c>
      <c r="P58" s="23">
        <v>55</v>
      </c>
      <c r="Q58" s="23">
        <v>0.14000000000000001</v>
      </c>
      <c r="R58" s="12">
        <f t="shared" si="2"/>
        <v>0.26423957721667651</v>
      </c>
    </row>
    <row r="59" spans="1:18" x14ac:dyDescent="0.2">
      <c r="A59" s="23">
        <v>56</v>
      </c>
      <c r="B59" s="23">
        <v>0.379</v>
      </c>
      <c r="C59" s="12">
        <f t="shared" si="0"/>
        <v>9.6784660766961661</v>
      </c>
      <c r="D59" s="12">
        <v>9.6784660766961661</v>
      </c>
      <c r="E59" s="12">
        <f t="shared" si="1"/>
        <v>8.9823008849557535</v>
      </c>
      <c r="P59" s="23">
        <v>56</v>
      </c>
      <c r="Q59" s="23">
        <v>0.22850000000000001</v>
      </c>
      <c r="R59" s="12">
        <f t="shared" si="2"/>
        <v>0.78391074574280684</v>
      </c>
    </row>
    <row r="60" spans="1:18" x14ac:dyDescent="0.2">
      <c r="A60" s="23">
        <v>57</v>
      </c>
      <c r="B60" s="23">
        <v>0.16200000000000001</v>
      </c>
      <c r="C60" s="12">
        <f t="shared" si="0"/>
        <v>3.2772861356932155</v>
      </c>
      <c r="D60" s="12">
        <v>3.2772861356932155</v>
      </c>
      <c r="E60" s="12">
        <f t="shared" si="1"/>
        <v>2.5811209439528024</v>
      </c>
      <c r="P60" s="23">
        <v>57</v>
      </c>
      <c r="Q60" s="23">
        <v>0.14449999999999999</v>
      </c>
      <c r="R60" s="12">
        <f t="shared" si="2"/>
        <v>0.29066353493834401</v>
      </c>
    </row>
    <row r="61" spans="1:18" x14ac:dyDescent="0.2">
      <c r="A61" s="23">
        <v>58</v>
      </c>
      <c r="B61" s="23">
        <v>0.89500000000000002</v>
      </c>
      <c r="C61" s="12">
        <f t="shared" si="0"/>
        <v>24.899705014749266</v>
      </c>
      <c r="D61" s="12">
        <v>26.638461538461545</v>
      </c>
      <c r="E61" s="12">
        <f t="shared" si="1"/>
        <v>25.942296346721132</v>
      </c>
      <c r="P61" s="23">
        <v>58</v>
      </c>
      <c r="Q61" s="23">
        <v>0.251</v>
      </c>
      <c r="R61" s="12">
        <f t="shared" si="2"/>
        <v>0.91603053435114501</v>
      </c>
    </row>
    <row r="62" spans="1:18" x14ac:dyDescent="0.2">
      <c r="A62" s="23">
        <v>59</v>
      </c>
      <c r="B62" s="23">
        <v>0.17150000000000001</v>
      </c>
      <c r="C62" s="12">
        <f t="shared" si="0"/>
        <v>3.5575221238938055</v>
      </c>
      <c r="D62" s="12">
        <v>3.5575221238938055</v>
      </c>
      <c r="E62" s="12">
        <f t="shared" si="1"/>
        <v>2.8613569321533925</v>
      </c>
      <c r="P62" s="23">
        <v>59</v>
      </c>
      <c r="Q62" s="23">
        <v>0.1245</v>
      </c>
      <c r="R62" s="12">
        <f t="shared" si="2"/>
        <v>0.17322372284204343</v>
      </c>
    </row>
    <row r="63" spans="1:18" x14ac:dyDescent="0.2">
      <c r="A63" s="23">
        <v>60</v>
      </c>
      <c r="B63" s="23">
        <v>0.13450000000000001</v>
      </c>
      <c r="C63" s="12">
        <f t="shared" si="0"/>
        <v>2.4660766961651919</v>
      </c>
      <c r="D63" s="12">
        <v>2.4660766961651919</v>
      </c>
      <c r="E63" s="12">
        <f t="shared" si="1"/>
        <v>1.7699115044247788</v>
      </c>
      <c r="P63" s="23">
        <v>60</v>
      </c>
      <c r="Q63" s="23">
        <v>0.17349999999999999</v>
      </c>
      <c r="R63" s="12">
        <f t="shared" si="2"/>
        <v>0.46095126247797996</v>
      </c>
    </row>
    <row r="64" spans="1:18" x14ac:dyDescent="0.2">
      <c r="A64" s="23" t="s">
        <v>120</v>
      </c>
      <c r="B64" s="23">
        <v>7.4499999999999997E-2</v>
      </c>
      <c r="C64" s="12">
        <f t="shared" si="0"/>
        <v>0.69616519174041291</v>
      </c>
      <c r="P64" s="23" t="s">
        <v>120</v>
      </c>
      <c r="Q64" s="23">
        <v>9.5500000000000002E-2</v>
      </c>
      <c r="R64" s="12">
        <f t="shared" si="2"/>
        <v>2.9359953024075186E-3</v>
      </c>
    </row>
    <row r="66" spans="1:24" x14ac:dyDescent="0.2">
      <c r="A66" s="25">
        <v>42180</v>
      </c>
    </row>
    <row r="67" spans="1:24" s="28" customFormat="1" x14ac:dyDescent="0.2">
      <c r="A67" s="25"/>
    </row>
    <row r="69" spans="1:24" x14ac:dyDescent="0.2">
      <c r="A69" s="15" t="s">
        <v>163</v>
      </c>
      <c r="P69" s="15" t="s">
        <v>161</v>
      </c>
      <c r="Q69" s="28"/>
    </row>
    <row r="70" spans="1:24" x14ac:dyDescent="0.2">
      <c r="A70" s="28" t="s">
        <v>63</v>
      </c>
      <c r="B70" s="28" t="s">
        <v>45</v>
      </c>
      <c r="C70" s="28" t="s">
        <v>15</v>
      </c>
      <c r="D70" s="28"/>
      <c r="E70" s="28"/>
      <c r="F70" s="28" t="s">
        <v>15</v>
      </c>
      <c r="G70" s="28" t="s">
        <v>45</v>
      </c>
      <c r="P70" s="28" t="s">
        <v>63</v>
      </c>
      <c r="Q70" s="28" t="s">
        <v>45</v>
      </c>
      <c r="R70" s="28" t="s">
        <v>15</v>
      </c>
      <c r="S70" s="23" t="s">
        <v>236</v>
      </c>
      <c r="U70" s="28" t="s">
        <v>15</v>
      </c>
      <c r="V70" s="28" t="s">
        <v>45</v>
      </c>
    </row>
    <row r="71" spans="1:24" x14ac:dyDescent="0.2">
      <c r="A71" s="23">
        <v>1</v>
      </c>
      <c r="B71" s="23">
        <v>6.3500000000000001E-2</v>
      </c>
      <c r="C71" s="3">
        <f>(B71-0.0501)/0.3486</f>
        <v>3.8439472174411939E-2</v>
      </c>
      <c r="F71" s="23">
        <v>0</v>
      </c>
      <c r="G71" s="23">
        <v>4.7500000000000001E-2</v>
      </c>
      <c r="P71" s="30" t="s">
        <v>122</v>
      </c>
      <c r="Q71" s="31">
        <v>0.19350000000000001</v>
      </c>
      <c r="R71" s="12">
        <f>(Q71-0.0925)/0.1643</f>
        <v>0.61472915398660988</v>
      </c>
      <c r="S71" s="23">
        <f>(Q71-0.0821)/0.1918</f>
        <v>0.58081334723670486</v>
      </c>
      <c r="U71" s="30">
        <v>0</v>
      </c>
      <c r="V71" s="29">
        <v>0.08</v>
      </c>
    </row>
    <row r="72" spans="1:24" x14ac:dyDescent="0.2">
      <c r="A72" s="23">
        <v>2</v>
      </c>
      <c r="B72" s="23">
        <v>6.5500000000000003E-2</v>
      </c>
      <c r="C72" s="3">
        <f t="shared" ref="C72:C130" si="3">(B72-0.0501)/0.3486</f>
        <v>4.4176706827309245E-2</v>
      </c>
      <c r="F72" s="23">
        <v>0.01</v>
      </c>
      <c r="G72" s="23">
        <v>4.8500000000000001E-2</v>
      </c>
      <c r="P72" s="30" t="s">
        <v>123</v>
      </c>
      <c r="Q72" s="31">
        <v>0.2525</v>
      </c>
      <c r="R72" s="12">
        <f t="shared" ref="R72:R130" si="4">(Q72-0.0925)/0.1643</f>
        <v>0.9738283627510651</v>
      </c>
      <c r="S72" s="47">
        <f t="shared" ref="S72:S130" si="5">(Q72-0.0821)/0.1918</f>
        <v>0.88842544316996874</v>
      </c>
      <c r="U72" s="30">
        <v>0.1</v>
      </c>
      <c r="V72" s="29">
        <v>0.10300000000000001</v>
      </c>
    </row>
    <row r="73" spans="1:24" x14ac:dyDescent="0.2">
      <c r="A73" s="23">
        <v>3</v>
      </c>
      <c r="B73" s="23">
        <v>6.5500000000000003E-2</v>
      </c>
      <c r="C73" s="3">
        <f t="shared" si="3"/>
        <v>4.4176706827309245E-2</v>
      </c>
      <c r="F73" s="23">
        <v>0.02</v>
      </c>
      <c r="G73" s="23">
        <v>5.5E-2</v>
      </c>
      <c r="P73" s="30" t="s">
        <v>124</v>
      </c>
      <c r="Q73" s="31">
        <v>0.53350000000000009</v>
      </c>
      <c r="R73" s="12">
        <f t="shared" si="4"/>
        <v>2.6841144248326234</v>
      </c>
      <c r="S73" s="47">
        <f t="shared" si="5"/>
        <v>2.3534932221063611</v>
      </c>
      <c r="U73" s="30">
        <v>0.2</v>
      </c>
      <c r="V73" s="31">
        <v>0.1195</v>
      </c>
    </row>
    <row r="74" spans="1:24" x14ac:dyDescent="0.2">
      <c r="A74" s="23">
        <v>4</v>
      </c>
      <c r="B74" s="23">
        <v>6.1499999999999999E-2</v>
      </c>
      <c r="C74" s="3">
        <f t="shared" si="3"/>
        <v>3.2702237521514632E-2</v>
      </c>
      <c r="F74" s="23">
        <v>0.05</v>
      </c>
      <c r="G74" s="23">
        <v>6.4000000000000001E-2</v>
      </c>
      <c r="P74" s="30" t="s">
        <v>125</v>
      </c>
      <c r="Q74" s="31">
        <v>0.23949999999999999</v>
      </c>
      <c r="R74" s="12">
        <f t="shared" si="4"/>
        <v>0.89470480827754106</v>
      </c>
      <c r="S74" s="47">
        <f t="shared" si="5"/>
        <v>0.82064650677789353</v>
      </c>
      <c r="U74" s="30">
        <v>0.5</v>
      </c>
      <c r="V74" s="31">
        <v>0.18049999999999999</v>
      </c>
    </row>
    <row r="75" spans="1:24" x14ac:dyDescent="0.2">
      <c r="A75" s="23">
        <v>5</v>
      </c>
      <c r="B75" s="23">
        <v>5.5500000000000001E-2</v>
      </c>
      <c r="C75" s="3">
        <f t="shared" si="3"/>
        <v>1.5490533562822725E-2</v>
      </c>
      <c r="F75" s="23">
        <v>0.1</v>
      </c>
      <c r="G75" s="23">
        <v>8.4000000000000005E-2</v>
      </c>
      <c r="P75" s="30" t="s">
        <v>126</v>
      </c>
      <c r="Q75" s="31">
        <v>8.8499999999999995E-2</v>
      </c>
      <c r="R75" s="12">
        <f t="shared" si="4"/>
        <v>-2.4345709068776651E-2</v>
      </c>
      <c r="S75" s="47">
        <f t="shared" si="5"/>
        <v>3.3368091762252292E-2</v>
      </c>
      <c r="U75" s="30">
        <v>1</v>
      </c>
      <c r="V75" s="31">
        <v>0.27300000000000002</v>
      </c>
    </row>
    <row r="76" spans="1:24" x14ac:dyDescent="0.2">
      <c r="A76" s="23">
        <v>6</v>
      </c>
      <c r="B76" s="23">
        <v>5.8500000000000003E-2</v>
      </c>
      <c r="C76" s="3">
        <f t="shared" si="3"/>
        <v>2.4096385542168686E-2</v>
      </c>
      <c r="F76" s="23">
        <v>0.2</v>
      </c>
      <c r="G76" s="23">
        <v>0.121</v>
      </c>
      <c r="P76" s="30" t="s">
        <v>127</v>
      </c>
      <c r="Q76" s="31">
        <v>0.48349999999999999</v>
      </c>
      <c r="R76" s="12">
        <f t="shared" si="4"/>
        <v>2.3797930614729155</v>
      </c>
      <c r="S76" s="47">
        <f t="shared" si="5"/>
        <v>2.0928050052137643</v>
      </c>
      <c r="U76" s="30">
        <v>2</v>
      </c>
      <c r="V76" s="31">
        <v>0.46550000000000002</v>
      </c>
    </row>
    <row r="77" spans="1:24" x14ac:dyDescent="0.2">
      <c r="A77" s="23">
        <v>7</v>
      </c>
      <c r="B77" s="23">
        <v>6.0999999999999999E-2</v>
      </c>
      <c r="C77" s="3">
        <f t="shared" si="3"/>
        <v>3.12679288582903E-2</v>
      </c>
      <c r="F77" s="23">
        <v>0.5</v>
      </c>
      <c r="G77" s="23">
        <v>0.23200000000000001</v>
      </c>
      <c r="P77" s="30" t="s">
        <v>128</v>
      </c>
      <c r="Q77" s="31">
        <v>0.3775</v>
      </c>
      <c r="R77" s="12">
        <f t="shared" si="4"/>
        <v>1.734631771150335</v>
      </c>
      <c r="S77" s="47">
        <f t="shared" si="5"/>
        <v>1.5401459854014599</v>
      </c>
      <c r="U77" s="48">
        <v>5</v>
      </c>
      <c r="V77" s="49">
        <v>0.86650000000000005</v>
      </c>
      <c r="X77" s="50" t="s">
        <v>237</v>
      </c>
    </row>
    <row r="78" spans="1:24" x14ac:dyDescent="0.2">
      <c r="A78" s="23">
        <v>8</v>
      </c>
      <c r="B78" s="23">
        <v>0.06</v>
      </c>
      <c r="C78" s="3">
        <f t="shared" si="3"/>
        <v>2.8399311531841647E-2</v>
      </c>
      <c r="F78" s="23">
        <v>1</v>
      </c>
      <c r="G78" s="23">
        <v>0.41349999999999998</v>
      </c>
      <c r="P78" s="30" t="s">
        <v>129</v>
      </c>
      <c r="Q78" s="31">
        <v>0.14699999999999999</v>
      </c>
      <c r="R78" s="12">
        <f t="shared" si="4"/>
        <v>0.33171028606208153</v>
      </c>
      <c r="S78" s="47">
        <f t="shared" si="5"/>
        <v>0.33837330552659012</v>
      </c>
      <c r="T78" s="28"/>
      <c r="U78" s="48">
        <v>7</v>
      </c>
      <c r="V78" s="49">
        <v>1.2175</v>
      </c>
    </row>
    <row r="79" spans="1:24" x14ac:dyDescent="0.2">
      <c r="A79" s="23">
        <v>9</v>
      </c>
      <c r="B79" s="23">
        <v>6.6000000000000003E-2</v>
      </c>
      <c r="C79" s="3">
        <f t="shared" si="3"/>
        <v>4.561101549053357E-2</v>
      </c>
      <c r="F79" s="23">
        <v>2</v>
      </c>
      <c r="G79" s="23">
        <v>0.73799999999999999</v>
      </c>
      <c r="P79" s="30" t="s">
        <v>130</v>
      </c>
      <c r="Q79" s="31">
        <v>0.17349999999999999</v>
      </c>
      <c r="R79" s="12">
        <f t="shared" si="4"/>
        <v>0.49300060864272666</v>
      </c>
      <c r="S79" s="47">
        <f t="shared" si="5"/>
        <v>0.47653806047966624</v>
      </c>
      <c r="T79" s="28"/>
      <c r="U79" s="48">
        <v>10</v>
      </c>
      <c r="V79" s="49">
        <v>1.7669999999999999</v>
      </c>
    </row>
    <row r="80" spans="1:24" x14ac:dyDescent="0.2">
      <c r="A80" s="23">
        <v>10</v>
      </c>
      <c r="B80" s="23">
        <v>5.8500000000000003E-2</v>
      </c>
      <c r="C80" s="3">
        <f t="shared" si="3"/>
        <v>2.4096385542168686E-2</v>
      </c>
      <c r="P80" s="30" t="s">
        <v>131</v>
      </c>
      <c r="Q80" s="31">
        <v>0.14050000000000001</v>
      </c>
      <c r="R80" s="12">
        <f t="shared" si="4"/>
        <v>0.29214850882531962</v>
      </c>
      <c r="S80" s="47">
        <f t="shared" si="5"/>
        <v>0.30448383733055268</v>
      </c>
    </row>
    <row r="81" spans="1:19" x14ac:dyDescent="0.2">
      <c r="A81" s="23">
        <v>11</v>
      </c>
      <c r="B81" s="23">
        <v>5.5500000000000001E-2</v>
      </c>
      <c r="C81" s="3">
        <f t="shared" si="3"/>
        <v>1.5490533562822725E-2</v>
      </c>
      <c r="P81" s="30" t="s">
        <v>132</v>
      </c>
      <c r="Q81" s="31">
        <v>9.0499999999999997E-2</v>
      </c>
      <c r="R81" s="12">
        <f t="shared" si="4"/>
        <v>-1.2172854534388326E-2</v>
      </c>
      <c r="S81" s="47">
        <f t="shared" si="5"/>
        <v>4.3795620437956158E-2</v>
      </c>
    </row>
    <row r="82" spans="1:19" x14ac:dyDescent="0.2">
      <c r="A82" s="23">
        <v>12</v>
      </c>
      <c r="B82" s="23">
        <v>5.8000000000000003E-2</v>
      </c>
      <c r="C82" s="3">
        <f t="shared" si="3"/>
        <v>2.2662076878944358E-2</v>
      </c>
      <c r="P82" s="30" t="s">
        <v>133</v>
      </c>
      <c r="Q82" s="31">
        <v>8.3500000000000005E-2</v>
      </c>
      <c r="R82" s="12">
        <f t="shared" si="4"/>
        <v>-5.477784540474738E-2</v>
      </c>
      <c r="S82" s="47">
        <f t="shared" si="5"/>
        <v>7.2992700729926927E-3</v>
      </c>
    </row>
    <row r="83" spans="1:19" x14ac:dyDescent="0.2">
      <c r="A83" s="23">
        <v>13</v>
      </c>
      <c r="B83" s="23">
        <v>5.3999999999999999E-2</v>
      </c>
      <c r="C83" s="3">
        <f t="shared" si="3"/>
        <v>1.1187607573149743E-2</v>
      </c>
      <c r="P83" s="30" t="s">
        <v>134</v>
      </c>
      <c r="Q83" s="31">
        <v>0.158</v>
      </c>
      <c r="R83" s="12">
        <f t="shared" si="4"/>
        <v>0.3986609860012173</v>
      </c>
      <c r="S83" s="47">
        <f t="shared" si="5"/>
        <v>0.39572471324296138</v>
      </c>
    </row>
    <row r="84" spans="1:19" x14ac:dyDescent="0.2">
      <c r="A84" s="23">
        <v>14</v>
      </c>
      <c r="B84" s="23">
        <v>6.6500000000000004E-2</v>
      </c>
      <c r="C84" s="3">
        <f t="shared" si="3"/>
        <v>4.7045324153757902E-2</v>
      </c>
      <c r="P84" s="30" t="s">
        <v>135</v>
      </c>
      <c r="Q84" s="31">
        <v>0.27100000000000002</v>
      </c>
      <c r="R84" s="12">
        <f t="shared" si="4"/>
        <v>1.0864272671941571</v>
      </c>
      <c r="S84" s="47">
        <f t="shared" si="5"/>
        <v>0.98488008342022948</v>
      </c>
    </row>
    <row r="85" spans="1:19" x14ac:dyDescent="0.2">
      <c r="A85" s="23">
        <v>15</v>
      </c>
      <c r="B85" s="23">
        <v>5.3499999999999999E-2</v>
      </c>
      <c r="C85" s="3">
        <f t="shared" si="3"/>
        <v>9.7532989099254168E-3</v>
      </c>
      <c r="P85" s="30" t="s">
        <v>136</v>
      </c>
      <c r="Q85" s="31">
        <v>0.10349999999999999</v>
      </c>
      <c r="R85" s="12">
        <f t="shared" si="4"/>
        <v>6.6950699939135702E-2</v>
      </c>
      <c r="S85" s="47">
        <f t="shared" si="5"/>
        <v>0.11157455683003123</v>
      </c>
    </row>
    <row r="86" spans="1:19" x14ac:dyDescent="0.2">
      <c r="A86" s="23">
        <v>16</v>
      </c>
      <c r="B86" s="23">
        <v>5.6000000000000001E-2</v>
      </c>
      <c r="C86" s="3">
        <f t="shared" si="3"/>
        <v>1.6924842226047052E-2</v>
      </c>
      <c r="P86" s="30" t="s">
        <v>137</v>
      </c>
      <c r="Q86" s="31">
        <v>0.16600000000000001</v>
      </c>
      <c r="R86" s="12">
        <f t="shared" si="4"/>
        <v>0.44735240413877059</v>
      </c>
      <c r="S86" s="47">
        <f t="shared" si="5"/>
        <v>0.43743482794577687</v>
      </c>
    </row>
    <row r="87" spans="1:19" x14ac:dyDescent="0.2">
      <c r="A87" s="23">
        <v>17</v>
      </c>
      <c r="B87" s="23">
        <v>6.1499999999999999E-2</v>
      </c>
      <c r="C87" s="3">
        <f t="shared" si="3"/>
        <v>3.2702237521514632E-2</v>
      </c>
      <c r="P87" s="30" t="s">
        <v>138</v>
      </c>
      <c r="Q87" s="31">
        <v>0.28499999999999998</v>
      </c>
      <c r="R87" s="12">
        <f t="shared" si="4"/>
        <v>1.171637248934875</v>
      </c>
      <c r="S87" s="47">
        <f t="shared" si="5"/>
        <v>1.0578727841501563</v>
      </c>
    </row>
    <row r="88" spans="1:19" x14ac:dyDescent="0.2">
      <c r="A88" s="23">
        <v>18</v>
      </c>
      <c r="B88" s="23">
        <v>5.3999999999999999E-2</v>
      </c>
      <c r="C88" s="3">
        <f t="shared" si="3"/>
        <v>1.1187607573149743E-2</v>
      </c>
      <c r="P88" s="30" t="s">
        <v>139</v>
      </c>
      <c r="Q88" s="31">
        <v>0.107</v>
      </c>
      <c r="R88" s="12">
        <f t="shared" si="4"/>
        <v>8.8253195374315266E-2</v>
      </c>
      <c r="S88" s="47">
        <f t="shared" si="5"/>
        <v>0.12982273201251299</v>
      </c>
    </row>
    <row r="89" spans="1:19" x14ac:dyDescent="0.2">
      <c r="A89" s="23">
        <v>19</v>
      </c>
      <c r="B89" s="23">
        <v>6.6500000000000004E-2</v>
      </c>
      <c r="C89" s="3">
        <f t="shared" si="3"/>
        <v>4.7045324153757902E-2</v>
      </c>
      <c r="P89" s="30" t="s">
        <v>140</v>
      </c>
      <c r="Q89" s="31">
        <v>0.2485</v>
      </c>
      <c r="R89" s="12">
        <f t="shared" si="4"/>
        <v>0.94948265368228846</v>
      </c>
      <c r="S89" s="47">
        <f t="shared" si="5"/>
        <v>0.86757038581856094</v>
      </c>
    </row>
    <row r="90" spans="1:19" x14ac:dyDescent="0.2">
      <c r="A90" s="23">
        <v>20</v>
      </c>
      <c r="B90" s="23">
        <v>5.7000000000000002E-2</v>
      </c>
      <c r="C90" s="3">
        <f t="shared" si="3"/>
        <v>1.9793459552495705E-2</v>
      </c>
      <c r="P90" s="30" t="s">
        <v>141</v>
      </c>
      <c r="Q90" s="31">
        <v>0.11649999999999999</v>
      </c>
      <c r="R90" s="12">
        <f t="shared" si="4"/>
        <v>0.14607425441265973</v>
      </c>
      <c r="S90" s="47">
        <f t="shared" si="5"/>
        <v>0.17935349322210628</v>
      </c>
    </row>
    <row r="91" spans="1:19" x14ac:dyDescent="0.2">
      <c r="A91" s="23">
        <v>21</v>
      </c>
      <c r="B91" s="23">
        <v>5.8000000000000003E-2</v>
      </c>
      <c r="C91" s="3">
        <f t="shared" si="3"/>
        <v>2.2662076878944358E-2</v>
      </c>
      <c r="P91" s="30" t="s">
        <v>142</v>
      </c>
      <c r="Q91" s="31">
        <v>0.36199999999999999</v>
      </c>
      <c r="R91" s="12">
        <f t="shared" si="4"/>
        <v>1.6402921485088251</v>
      </c>
      <c r="S91" s="47">
        <f t="shared" si="5"/>
        <v>1.4593326381647549</v>
      </c>
    </row>
    <row r="92" spans="1:19" x14ac:dyDescent="0.2">
      <c r="A92" s="23">
        <v>22</v>
      </c>
      <c r="B92" s="23">
        <v>6.6500000000000004E-2</v>
      </c>
      <c r="C92" s="3">
        <f t="shared" si="3"/>
        <v>4.7045324153757902E-2</v>
      </c>
      <c r="P92" s="30" t="s">
        <v>143</v>
      </c>
      <c r="Q92" s="31">
        <v>0.14100000000000001</v>
      </c>
      <c r="R92" s="12">
        <f t="shared" si="4"/>
        <v>0.29519172245891673</v>
      </c>
      <c r="S92" s="47">
        <f t="shared" si="5"/>
        <v>0.30709071949947869</v>
      </c>
    </row>
    <row r="93" spans="1:19" x14ac:dyDescent="0.2">
      <c r="A93" s="23">
        <v>23</v>
      </c>
      <c r="B93" s="23">
        <v>5.8000000000000003E-2</v>
      </c>
      <c r="C93" s="3">
        <f t="shared" si="3"/>
        <v>2.2662076878944358E-2</v>
      </c>
      <c r="P93" s="30" t="s">
        <v>144</v>
      </c>
      <c r="Q93" s="31">
        <v>8.5499999999999993E-2</v>
      </c>
      <c r="R93" s="12">
        <f t="shared" si="4"/>
        <v>-4.2604990870359134E-2</v>
      </c>
      <c r="S93" s="47">
        <f t="shared" si="5"/>
        <v>1.7726798748696489E-2</v>
      </c>
    </row>
    <row r="94" spans="1:19" x14ac:dyDescent="0.2">
      <c r="A94" s="23">
        <v>24</v>
      </c>
      <c r="B94" s="23">
        <v>5.8000000000000003E-2</v>
      </c>
      <c r="C94" s="3">
        <f t="shared" si="3"/>
        <v>2.2662076878944358E-2</v>
      </c>
      <c r="P94" s="30" t="s">
        <v>145</v>
      </c>
      <c r="Q94" s="31">
        <v>8.1000000000000003E-2</v>
      </c>
      <c r="R94" s="12">
        <f t="shared" si="4"/>
        <v>-6.9993913572732783E-2</v>
      </c>
      <c r="S94" s="47">
        <f t="shared" si="5"/>
        <v>-5.7351407716371419E-3</v>
      </c>
    </row>
    <row r="95" spans="1:19" x14ac:dyDescent="0.2">
      <c r="A95" s="23">
        <v>25</v>
      </c>
      <c r="B95" s="23">
        <v>6.5000000000000002E-2</v>
      </c>
      <c r="C95" s="3">
        <f t="shared" si="3"/>
        <v>4.274239816408492E-2</v>
      </c>
      <c r="P95" s="31" t="s">
        <v>146</v>
      </c>
      <c r="Q95" s="31">
        <v>0.24199999999999999</v>
      </c>
      <c r="R95" s="12">
        <f t="shared" si="4"/>
        <v>0.90992087644552644</v>
      </c>
      <c r="S95" s="47">
        <f t="shared" si="5"/>
        <v>0.83368091762252339</v>
      </c>
    </row>
    <row r="96" spans="1:19" x14ac:dyDescent="0.2">
      <c r="A96" s="23">
        <v>26</v>
      </c>
      <c r="B96" s="23">
        <v>5.5E-2</v>
      </c>
      <c r="C96" s="3">
        <f t="shared" si="3"/>
        <v>1.4056224899598397E-2</v>
      </c>
      <c r="P96" s="31" t="s">
        <v>147</v>
      </c>
      <c r="Q96" s="31">
        <v>0.2205</v>
      </c>
      <c r="R96" s="12">
        <f t="shared" si="4"/>
        <v>0.77906269020085206</v>
      </c>
      <c r="S96" s="47">
        <f t="shared" si="5"/>
        <v>0.72158498435870699</v>
      </c>
    </row>
    <row r="97" spans="1:19" x14ac:dyDescent="0.2">
      <c r="A97" s="23">
        <v>27</v>
      </c>
      <c r="B97" s="23">
        <v>5.2999999999999999E-2</v>
      </c>
      <c r="C97" s="3">
        <f t="shared" si="3"/>
        <v>8.3189902467010884E-3</v>
      </c>
      <c r="P97" s="31" t="s">
        <v>148</v>
      </c>
      <c r="Q97" s="31">
        <v>9.6500000000000002E-2</v>
      </c>
      <c r="R97" s="12">
        <f t="shared" si="4"/>
        <v>2.4345709068776651E-2</v>
      </c>
      <c r="S97" s="47">
        <f t="shared" si="5"/>
        <v>7.5078206465067757E-2</v>
      </c>
    </row>
    <row r="98" spans="1:19" x14ac:dyDescent="0.2">
      <c r="A98" s="23">
        <v>28</v>
      </c>
      <c r="B98" s="23">
        <v>6.1499999999999999E-2</v>
      </c>
      <c r="C98" s="3">
        <f t="shared" si="3"/>
        <v>3.2702237521514632E-2</v>
      </c>
      <c r="P98" s="31" t="s">
        <v>149</v>
      </c>
      <c r="Q98" s="31">
        <v>0.22900000000000001</v>
      </c>
      <c r="R98" s="12">
        <f t="shared" si="4"/>
        <v>0.83079732197200251</v>
      </c>
      <c r="S98" s="47">
        <f t="shared" si="5"/>
        <v>0.76590198123044839</v>
      </c>
    </row>
    <row r="99" spans="1:19" x14ac:dyDescent="0.2">
      <c r="A99" s="23">
        <v>29</v>
      </c>
      <c r="B99" s="23">
        <v>5.5500000000000001E-2</v>
      </c>
      <c r="C99" s="3">
        <f t="shared" si="3"/>
        <v>1.5490533562822725E-2</v>
      </c>
      <c r="P99" s="31" t="s">
        <v>150</v>
      </c>
      <c r="Q99" s="31">
        <v>8.2500000000000004E-2</v>
      </c>
      <c r="R99" s="12">
        <f t="shared" si="4"/>
        <v>-6.0864272671941541E-2</v>
      </c>
      <c r="S99" s="47">
        <f t="shared" si="5"/>
        <v>2.0855057351407591E-3</v>
      </c>
    </row>
    <row r="100" spans="1:19" x14ac:dyDescent="0.2">
      <c r="A100" s="23">
        <v>30</v>
      </c>
      <c r="B100" s="23">
        <v>5.6000000000000001E-2</v>
      </c>
      <c r="C100" s="3">
        <f t="shared" si="3"/>
        <v>1.6924842226047052E-2</v>
      </c>
      <c r="P100" s="31" t="s">
        <v>151</v>
      </c>
      <c r="Q100" s="31">
        <v>0.23</v>
      </c>
      <c r="R100" s="12">
        <f t="shared" si="4"/>
        <v>0.83688374923919662</v>
      </c>
      <c r="S100" s="47">
        <f t="shared" si="5"/>
        <v>0.77111574556830031</v>
      </c>
    </row>
    <row r="101" spans="1:19" x14ac:dyDescent="0.2">
      <c r="A101" s="23">
        <v>31</v>
      </c>
      <c r="B101" s="23">
        <v>6.2E-2</v>
      </c>
      <c r="C101" s="3">
        <f t="shared" si="3"/>
        <v>3.4136546184738957E-2</v>
      </c>
      <c r="P101" s="31" t="s">
        <v>152</v>
      </c>
      <c r="Q101" s="31">
        <v>0.14349999999999999</v>
      </c>
      <c r="R101" s="12">
        <f t="shared" si="4"/>
        <v>0.31040779062690194</v>
      </c>
      <c r="S101" s="47">
        <f t="shared" si="5"/>
        <v>0.32012513034410833</v>
      </c>
    </row>
    <row r="102" spans="1:19" x14ac:dyDescent="0.2">
      <c r="A102" s="23">
        <v>32</v>
      </c>
      <c r="B102" s="23">
        <v>6.3E-2</v>
      </c>
      <c r="C102" s="3">
        <f t="shared" si="3"/>
        <v>3.7005163511187614E-2</v>
      </c>
      <c r="P102" s="31" t="s">
        <v>153</v>
      </c>
      <c r="Q102" s="31">
        <v>0.16300000000000001</v>
      </c>
      <c r="R102" s="12">
        <f t="shared" si="4"/>
        <v>0.4290931223371881</v>
      </c>
      <c r="S102" s="47">
        <f t="shared" si="5"/>
        <v>0.42179353493222105</v>
      </c>
    </row>
    <row r="103" spans="1:19" x14ac:dyDescent="0.2">
      <c r="A103" s="23">
        <v>33</v>
      </c>
      <c r="B103" s="23">
        <v>6.1499999999999999E-2</v>
      </c>
      <c r="C103" s="3">
        <f t="shared" si="3"/>
        <v>3.2702237521514632E-2</v>
      </c>
      <c r="P103" s="31" t="s">
        <v>154</v>
      </c>
      <c r="Q103" s="31">
        <v>0.35150000000000003</v>
      </c>
      <c r="R103" s="12">
        <f t="shared" si="4"/>
        <v>1.5763846622032867</v>
      </c>
      <c r="S103" s="47">
        <f t="shared" si="5"/>
        <v>1.4045881126173099</v>
      </c>
    </row>
    <row r="104" spans="1:19" x14ac:dyDescent="0.2">
      <c r="A104" s="23">
        <v>34</v>
      </c>
      <c r="B104" s="23">
        <v>5.45E-2</v>
      </c>
      <c r="C104" s="3">
        <f t="shared" si="3"/>
        <v>1.262191623637407E-2</v>
      </c>
      <c r="P104" s="31" t="s">
        <v>155</v>
      </c>
      <c r="Q104" s="31">
        <v>9.9500000000000005E-2</v>
      </c>
      <c r="R104" s="12">
        <f t="shared" si="4"/>
        <v>4.2604990870359134E-2</v>
      </c>
      <c r="S104" s="47">
        <f t="shared" si="5"/>
        <v>9.0719499478623566E-2</v>
      </c>
    </row>
    <row r="105" spans="1:19" x14ac:dyDescent="0.2">
      <c r="A105" s="23">
        <v>35</v>
      </c>
      <c r="B105" s="23">
        <v>5.2499999999999998E-2</v>
      </c>
      <c r="C105" s="3">
        <f t="shared" si="3"/>
        <v>6.8846815834767618E-3</v>
      </c>
      <c r="P105" s="31" t="s">
        <v>156</v>
      </c>
      <c r="Q105" s="31">
        <v>9.7500000000000003E-2</v>
      </c>
      <c r="R105" s="12">
        <f t="shared" si="4"/>
        <v>3.0432136335970812E-2</v>
      </c>
      <c r="S105" s="47">
        <f t="shared" si="5"/>
        <v>8.0291970802919693E-2</v>
      </c>
    </row>
    <row r="106" spans="1:19" x14ac:dyDescent="0.2">
      <c r="A106" s="23">
        <v>36</v>
      </c>
      <c r="B106" s="23">
        <v>5.2499999999999998E-2</v>
      </c>
      <c r="C106" s="3">
        <f t="shared" si="3"/>
        <v>6.8846815834767618E-3</v>
      </c>
      <c r="P106" s="31" t="s">
        <v>157</v>
      </c>
      <c r="Q106" s="31">
        <v>0.1205</v>
      </c>
      <c r="R106" s="12">
        <f t="shared" si="4"/>
        <v>0.17041996348143637</v>
      </c>
      <c r="S106" s="47">
        <f t="shared" si="5"/>
        <v>0.20020855057351403</v>
      </c>
    </row>
    <row r="107" spans="1:19" x14ac:dyDescent="0.2">
      <c r="A107" s="23">
        <v>37</v>
      </c>
      <c r="B107" s="23">
        <v>0.28649999999999998</v>
      </c>
      <c r="C107" s="3">
        <f t="shared" si="3"/>
        <v>0.67814113597246117</v>
      </c>
      <c r="P107" s="30" t="s">
        <v>158</v>
      </c>
      <c r="Q107" s="31">
        <v>0.2225</v>
      </c>
      <c r="R107" s="12">
        <f t="shared" si="4"/>
        <v>0.79123554473524038</v>
      </c>
      <c r="S107" s="47">
        <f t="shared" si="5"/>
        <v>0.73201251303441084</v>
      </c>
    </row>
    <row r="108" spans="1:19" x14ac:dyDescent="0.2">
      <c r="A108" s="23">
        <v>38</v>
      </c>
      <c r="B108" s="23">
        <v>6.25E-2</v>
      </c>
      <c r="C108" s="3">
        <f t="shared" si="3"/>
        <v>3.5570854847963282E-2</v>
      </c>
      <c r="P108" s="31" t="s">
        <v>159</v>
      </c>
      <c r="Q108" s="31">
        <v>0.30349999999999999</v>
      </c>
      <c r="R108" s="12">
        <f t="shared" si="4"/>
        <v>1.2842361533779671</v>
      </c>
      <c r="S108" s="47">
        <f t="shared" si="5"/>
        <v>1.1543274244004171</v>
      </c>
    </row>
    <row r="109" spans="1:19" x14ac:dyDescent="0.2">
      <c r="A109" s="23">
        <v>39</v>
      </c>
      <c r="B109" s="23">
        <v>5.3499999999999999E-2</v>
      </c>
      <c r="C109" s="3">
        <f t="shared" si="3"/>
        <v>9.7532989099254168E-3</v>
      </c>
      <c r="P109" s="31" t="s">
        <v>160</v>
      </c>
      <c r="Q109" s="31">
        <v>0.14050000000000001</v>
      </c>
      <c r="R109" s="12">
        <f t="shared" si="4"/>
        <v>0.29214850882531962</v>
      </c>
      <c r="S109" s="47">
        <f t="shared" si="5"/>
        <v>0.30448383733055268</v>
      </c>
    </row>
    <row r="110" spans="1:19" x14ac:dyDescent="0.2">
      <c r="A110" s="23">
        <v>40</v>
      </c>
      <c r="B110" s="23">
        <v>5.9499999999999997E-2</v>
      </c>
      <c r="C110" s="3">
        <f t="shared" si="3"/>
        <v>2.6965002868617322E-2</v>
      </c>
      <c r="P110" s="23">
        <v>40</v>
      </c>
      <c r="Q110" s="23">
        <v>0.22900000000000001</v>
      </c>
      <c r="R110" s="12">
        <f t="shared" si="4"/>
        <v>0.83079732197200251</v>
      </c>
      <c r="S110" s="47">
        <f t="shared" si="5"/>
        <v>0.76590198123044839</v>
      </c>
    </row>
    <row r="111" spans="1:19" x14ac:dyDescent="0.2">
      <c r="A111" s="23">
        <v>41</v>
      </c>
      <c r="B111" s="23">
        <v>5.5E-2</v>
      </c>
      <c r="C111" s="3">
        <f t="shared" si="3"/>
        <v>1.4056224899598397E-2</v>
      </c>
      <c r="P111" s="23">
        <v>41</v>
      </c>
      <c r="Q111" s="23">
        <v>0.10249999999999999</v>
      </c>
      <c r="R111" s="12">
        <f t="shared" si="4"/>
        <v>6.0864272671941541E-2</v>
      </c>
      <c r="S111" s="47">
        <f t="shared" si="5"/>
        <v>0.10636079249217929</v>
      </c>
    </row>
    <row r="112" spans="1:19" x14ac:dyDescent="0.2">
      <c r="A112" s="23">
        <v>42</v>
      </c>
      <c r="B112" s="23">
        <v>5.8500000000000003E-2</v>
      </c>
      <c r="C112" s="3">
        <f t="shared" si="3"/>
        <v>2.4096385542168686E-2</v>
      </c>
      <c r="P112" s="23">
        <v>42</v>
      </c>
      <c r="Q112" s="23">
        <v>0.27350000000000002</v>
      </c>
      <c r="R112" s="12">
        <f t="shared" si="4"/>
        <v>1.1016433353621427</v>
      </c>
      <c r="S112" s="47">
        <f t="shared" si="5"/>
        <v>0.99791449426485934</v>
      </c>
    </row>
    <row r="113" spans="1:19" x14ac:dyDescent="0.2">
      <c r="A113" s="23">
        <v>43</v>
      </c>
      <c r="B113" s="23">
        <v>5.8500000000000003E-2</v>
      </c>
      <c r="C113" s="3">
        <f t="shared" si="3"/>
        <v>2.4096385542168686E-2</v>
      </c>
      <c r="P113" s="23">
        <v>43</v>
      </c>
      <c r="Q113" s="23">
        <v>0.1545</v>
      </c>
      <c r="R113" s="12">
        <f t="shared" si="4"/>
        <v>0.37735849056603771</v>
      </c>
      <c r="S113" s="47">
        <f t="shared" si="5"/>
        <v>0.37747653806047965</v>
      </c>
    </row>
    <row r="114" spans="1:19" x14ac:dyDescent="0.2">
      <c r="A114" s="23">
        <v>44</v>
      </c>
      <c r="B114" s="23">
        <v>8.5500000000000007E-2</v>
      </c>
      <c r="C114" s="3">
        <f t="shared" si="3"/>
        <v>0.10154905335628228</v>
      </c>
      <c r="P114" s="23">
        <v>44</v>
      </c>
      <c r="Q114" s="23">
        <v>0.34300000000000003</v>
      </c>
      <c r="R114" s="12">
        <f t="shared" si="4"/>
        <v>1.5246500304321366</v>
      </c>
      <c r="S114" s="47">
        <f t="shared" si="5"/>
        <v>1.3602711157455685</v>
      </c>
    </row>
    <row r="115" spans="1:19" x14ac:dyDescent="0.2">
      <c r="A115" s="23">
        <v>45</v>
      </c>
      <c r="B115" s="23">
        <v>0.06</v>
      </c>
      <c r="C115" s="3">
        <f t="shared" si="3"/>
        <v>2.8399311531841647E-2</v>
      </c>
      <c r="P115" s="23">
        <v>45</v>
      </c>
      <c r="Q115" s="23">
        <v>0.62549999999999994</v>
      </c>
      <c r="R115" s="12">
        <f t="shared" si="4"/>
        <v>3.2440657334144851</v>
      </c>
      <c r="S115" s="47">
        <f t="shared" si="5"/>
        <v>2.8331595411887376</v>
      </c>
    </row>
    <row r="116" spans="1:19" x14ac:dyDescent="0.2">
      <c r="A116" s="23">
        <v>46</v>
      </c>
      <c r="B116" s="23">
        <v>6.3E-2</v>
      </c>
      <c r="C116" s="3">
        <f t="shared" si="3"/>
        <v>3.7005163511187614E-2</v>
      </c>
      <c r="P116" s="23">
        <v>46</v>
      </c>
      <c r="Q116" s="23">
        <v>0.1835</v>
      </c>
      <c r="R116" s="12">
        <f t="shared" si="4"/>
        <v>0.55386488131466827</v>
      </c>
      <c r="S116" s="47">
        <f t="shared" si="5"/>
        <v>0.52867570385818552</v>
      </c>
    </row>
    <row r="117" spans="1:19" x14ac:dyDescent="0.2">
      <c r="A117" s="23">
        <v>47</v>
      </c>
      <c r="B117" s="23">
        <v>5.6500000000000002E-2</v>
      </c>
      <c r="C117" s="3">
        <f t="shared" si="3"/>
        <v>1.835915088927138E-2</v>
      </c>
      <c r="P117" s="23">
        <v>47</v>
      </c>
      <c r="Q117" s="23">
        <v>9.5000000000000001E-2</v>
      </c>
      <c r="R117" s="12">
        <f t="shared" si="4"/>
        <v>1.5216068167985406E-2</v>
      </c>
      <c r="S117" s="47">
        <f t="shared" si="5"/>
        <v>6.7257559958289859E-2</v>
      </c>
    </row>
    <row r="118" spans="1:19" x14ac:dyDescent="0.2">
      <c r="A118" s="23">
        <v>48</v>
      </c>
      <c r="B118" s="23">
        <v>5.8000000000000003E-2</v>
      </c>
      <c r="C118" s="3">
        <f t="shared" si="3"/>
        <v>2.2662076878944358E-2</v>
      </c>
      <c r="P118" s="23">
        <v>48</v>
      </c>
      <c r="Q118" s="23">
        <v>7.9500000000000001E-2</v>
      </c>
      <c r="R118" s="12">
        <f t="shared" si="4"/>
        <v>-7.9123554473524024E-2</v>
      </c>
      <c r="S118" s="47">
        <f t="shared" si="5"/>
        <v>-1.3555787278415042E-2</v>
      </c>
    </row>
    <row r="119" spans="1:19" x14ac:dyDescent="0.2">
      <c r="A119" s="23">
        <v>49</v>
      </c>
      <c r="B119" s="23">
        <v>5.8999999999999997E-2</v>
      </c>
      <c r="C119" s="3">
        <f t="shared" si="3"/>
        <v>2.5530694205392994E-2</v>
      </c>
      <c r="P119" s="23">
        <v>49</v>
      </c>
      <c r="Q119" s="23">
        <v>0.20899999999999999</v>
      </c>
      <c r="R119" s="12">
        <f t="shared" si="4"/>
        <v>0.70906877662811929</v>
      </c>
      <c r="S119" s="47">
        <f t="shared" si="5"/>
        <v>0.66162669447340972</v>
      </c>
    </row>
    <row r="120" spans="1:19" x14ac:dyDescent="0.2">
      <c r="A120" s="23">
        <v>50</v>
      </c>
      <c r="B120" s="23">
        <v>5.8500000000000003E-2</v>
      </c>
      <c r="C120" s="3">
        <f t="shared" si="3"/>
        <v>2.4096385542168686E-2</v>
      </c>
      <c r="P120" s="23">
        <v>50</v>
      </c>
      <c r="Q120" s="23">
        <v>0.64500000000000002</v>
      </c>
      <c r="R120" s="12">
        <f t="shared" si="4"/>
        <v>3.3627510651247716</v>
      </c>
      <c r="S120" s="47">
        <f t="shared" si="5"/>
        <v>2.9348279457768505</v>
      </c>
    </row>
    <row r="121" spans="1:19" x14ac:dyDescent="0.2">
      <c r="A121" s="23">
        <v>51</v>
      </c>
      <c r="B121" s="23">
        <v>0.06</v>
      </c>
      <c r="C121" s="3">
        <f t="shared" si="3"/>
        <v>2.8399311531841647E-2</v>
      </c>
      <c r="P121" s="23">
        <v>51</v>
      </c>
      <c r="Q121" s="23">
        <v>0.57299999999999995</v>
      </c>
      <c r="R121" s="12">
        <f t="shared" si="4"/>
        <v>2.924528301886792</v>
      </c>
      <c r="S121" s="47">
        <f t="shared" si="5"/>
        <v>2.5594369134515116</v>
      </c>
    </row>
    <row r="122" spans="1:19" x14ac:dyDescent="0.2">
      <c r="A122" s="23">
        <v>52</v>
      </c>
      <c r="B122" s="23">
        <v>0.06</v>
      </c>
      <c r="C122" s="3">
        <f t="shared" si="3"/>
        <v>2.8399311531841647E-2</v>
      </c>
      <c r="P122" s="23">
        <v>52</v>
      </c>
      <c r="Q122" s="23">
        <v>0.13600000000000001</v>
      </c>
      <c r="R122" s="12">
        <f t="shared" si="4"/>
        <v>0.26475958612294587</v>
      </c>
      <c r="S122" s="47">
        <f t="shared" si="5"/>
        <v>0.28102189781021902</v>
      </c>
    </row>
    <row r="123" spans="1:19" x14ac:dyDescent="0.2">
      <c r="A123" s="23">
        <v>53</v>
      </c>
      <c r="B123" s="23">
        <v>6.2E-2</v>
      </c>
      <c r="C123" s="3">
        <f t="shared" si="3"/>
        <v>3.4136546184738957E-2</v>
      </c>
      <c r="P123" s="23">
        <v>53</v>
      </c>
      <c r="Q123" s="23">
        <v>0.32200000000000001</v>
      </c>
      <c r="R123" s="12">
        <f t="shared" si="4"/>
        <v>1.3968350578210591</v>
      </c>
      <c r="S123" s="47">
        <f t="shared" si="5"/>
        <v>1.2507820646506778</v>
      </c>
    </row>
    <row r="124" spans="1:19" x14ac:dyDescent="0.2">
      <c r="A124" s="23">
        <v>54</v>
      </c>
      <c r="B124" s="23">
        <v>0.06</v>
      </c>
      <c r="C124" s="3">
        <f t="shared" si="3"/>
        <v>2.8399311531841647E-2</v>
      </c>
      <c r="P124" s="23">
        <v>54</v>
      </c>
      <c r="Q124" s="23">
        <v>0.33650000000000002</v>
      </c>
      <c r="R124" s="12">
        <f t="shared" si="4"/>
        <v>1.4850882531953744</v>
      </c>
      <c r="S124" s="47">
        <f t="shared" si="5"/>
        <v>1.3263816475495309</v>
      </c>
    </row>
    <row r="125" spans="1:19" x14ac:dyDescent="0.2">
      <c r="A125" s="23">
        <v>55</v>
      </c>
      <c r="B125" s="23">
        <v>6.5000000000000002E-2</v>
      </c>
      <c r="C125" s="3">
        <f t="shared" si="3"/>
        <v>4.274239816408492E-2</v>
      </c>
      <c r="P125" s="23">
        <v>55</v>
      </c>
      <c r="Q125" s="23">
        <v>0.1215</v>
      </c>
      <c r="R125" s="12">
        <f t="shared" si="4"/>
        <v>0.17650639074863053</v>
      </c>
      <c r="S125" s="47">
        <f t="shared" si="5"/>
        <v>0.20542231491136595</v>
      </c>
    </row>
    <row r="126" spans="1:19" x14ac:dyDescent="0.2">
      <c r="A126" s="23">
        <v>56</v>
      </c>
      <c r="B126" s="23">
        <v>0.23400000000000001</v>
      </c>
      <c r="C126" s="3">
        <f t="shared" si="3"/>
        <v>0.52753872633390708</v>
      </c>
      <c r="P126" s="23">
        <v>56</v>
      </c>
      <c r="Q126" s="23">
        <v>0.17849999999999999</v>
      </c>
      <c r="R126" s="12">
        <f t="shared" si="4"/>
        <v>0.52343274497869741</v>
      </c>
      <c r="S126" s="47">
        <f t="shared" si="5"/>
        <v>0.50260688216892591</v>
      </c>
    </row>
    <row r="127" spans="1:19" x14ac:dyDescent="0.2">
      <c r="A127" s="23">
        <v>57</v>
      </c>
      <c r="B127" s="23">
        <v>6.6500000000000004E-2</v>
      </c>
      <c r="C127" s="3">
        <f t="shared" si="3"/>
        <v>4.7045324153757902E-2</v>
      </c>
      <c r="P127" s="23">
        <v>57</v>
      </c>
      <c r="Q127" s="23">
        <v>0.1545</v>
      </c>
      <c r="R127" s="12">
        <f t="shared" si="4"/>
        <v>0.37735849056603771</v>
      </c>
      <c r="S127" s="47">
        <f t="shared" si="5"/>
        <v>0.37747653806047965</v>
      </c>
    </row>
    <row r="128" spans="1:19" x14ac:dyDescent="0.2">
      <c r="A128" s="23">
        <v>58</v>
      </c>
      <c r="B128" s="23">
        <v>6.4500000000000002E-2</v>
      </c>
      <c r="C128" s="3">
        <f t="shared" si="3"/>
        <v>4.1308089500860588E-2</v>
      </c>
      <c r="P128" s="23">
        <v>58</v>
      </c>
      <c r="Q128" s="23">
        <v>0.38700000000000001</v>
      </c>
      <c r="R128" s="12">
        <f t="shared" si="4"/>
        <v>1.7924528301886791</v>
      </c>
      <c r="S128" s="47">
        <f t="shared" si="5"/>
        <v>1.5896767466110533</v>
      </c>
    </row>
    <row r="129" spans="1:19" x14ac:dyDescent="0.2">
      <c r="A129" s="23">
        <v>59</v>
      </c>
      <c r="B129" s="23">
        <v>5.45E-2</v>
      </c>
      <c r="C129" s="3">
        <f t="shared" si="3"/>
        <v>1.262191623637407E-2</v>
      </c>
      <c r="P129" s="23">
        <v>59</v>
      </c>
      <c r="Q129" s="23">
        <v>0.105</v>
      </c>
      <c r="R129" s="12">
        <f t="shared" si="4"/>
        <v>7.6080340839926944E-2</v>
      </c>
      <c r="S129" s="47">
        <f t="shared" si="5"/>
        <v>0.11939520333680913</v>
      </c>
    </row>
    <row r="130" spans="1:19" x14ac:dyDescent="0.2">
      <c r="A130" s="23">
        <v>60</v>
      </c>
      <c r="B130" s="23">
        <v>5.1999999999999998E-2</v>
      </c>
      <c r="C130" s="3">
        <f t="shared" si="3"/>
        <v>5.4503729202524352E-3</v>
      </c>
      <c r="P130" s="23">
        <v>60</v>
      </c>
      <c r="Q130" s="23">
        <v>0.14349999999999999</v>
      </c>
      <c r="R130" s="12">
        <f t="shared" si="4"/>
        <v>0.31040779062690194</v>
      </c>
      <c r="S130" s="47">
        <f t="shared" si="5"/>
        <v>0.32012513034410833</v>
      </c>
    </row>
    <row r="131" spans="1:19" x14ac:dyDescent="0.2">
      <c r="R131" s="12"/>
    </row>
    <row r="132" spans="1:19" x14ac:dyDescent="0.2">
      <c r="R132" s="12"/>
    </row>
    <row r="133" spans="1:19" x14ac:dyDescent="0.2">
      <c r="A133" s="15" t="s">
        <v>164</v>
      </c>
      <c r="R133" s="12"/>
    </row>
    <row r="134" spans="1:19" x14ac:dyDescent="0.2">
      <c r="A134" s="28" t="s">
        <v>63</v>
      </c>
      <c r="B134" s="28" t="s">
        <v>45</v>
      </c>
      <c r="C134" s="28" t="s">
        <v>15</v>
      </c>
      <c r="D134" s="28" t="s">
        <v>165</v>
      </c>
      <c r="E134" s="28"/>
      <c r="F134" s="28" t="s">
        <v>15</v>
      </c>
      <c r="G134" s="28" t="s">
        <v>45</v>
      </c>
      <c r="R134" s="12"/>
    </row>
    <row r="135" spans="1:19" x14ac:dyDescent="0.2">
      <c r="A135" s="23">
        <v>13</v>
      </c>
      <c r="B135" s="23">
        <v>0.53400000000000003</v>
      </c>
      <c r="C135" s="12">
        <f>(B135-0.0532)/0.039</f>
        <v>12.328205128205129</v>
      </c>
      <c r="D135" s="12">
        <f>C135*3</f>
        <v>36.984615384615388</v>
      </c>
      <c r="F135" s="23">
        <v>0</v>
      </c>
      <c r="G135" s="23">
        <v>5.1499999999999997E-2</v>
      </c>
      <c r="R135" s="12"/>
    </row>
    <row r="136" spans="1:19" x14ac:dyDescent="0.2">
      <c r="A136" s="23">
        <v>20</v>
      </c>
      <c r="B136" s="23">
        <v>0.48449999999999999</v>
      </c>
      <c r="C136" s="12">
        <f t="shared" ref="C136:C143" si="6">(B136-0.0532)/0.039</f>
        <v>11.058974358974359</v>
      </c>
      <c r="D136" s="12">
        <f t="shared" ref="D136:D143" si="7">C136*3</f>
        <v>33.176923076923075</v>
      </c>
      <c r="F136" s="23">
        <v>0.1</v>
      </c>
      <c r="G136" s="23">
        <v>5.6500000000000002E-2</v>
      </c>
      <c r="R136" s="12"/>
    </row>
    <row r="137" spans="1:19" x14ac:dyDescent="0.2">
      <c r="A137" s="23">
        <v>25</v>
      </c>
      <c r="B137" s="23">
        <v>0.54049999999999998</v>
      </c>
      <c r="C137" s="12">
        <f t="shared" si="6"/>
        <v>12.494871794871793</v>
      </c>
      <c r="D137" s="12">
        <f t="shared" si="7"/>
        <v>37.484615384615381</v>
      </c>
      <c r="F137" s="23">
        <v>0.2</v>
      </c>
      <c r="G137" s="23">
        <v>6.0999999999999999E-2</v>
      </c>
      <c r="R137" s="12"/>
    </row>
    <row r="138" spans="1:19" x14ac:dyDescent="0.2">
      <c r="A138" s="23">
        <v>31</v>
      </c>
      <c r="B138" s="23">
        <v>0.58850000000000002</v>
      </c>
      <c r="C138" s="12">
        <f t="shared" si="6"/>
        <v>13.725641025641025</v>
      </c>
      <c r="D138" s="12">
        <f t="shared" si="7"/>
        <v>41.176923076923075</v>
      </c>
      <c r="F138" s="23">
        <v>0.5</v>
      </c>
      <c r="G138" s="23">
        <v>7.0999999999999994E-2</v>
      </c>
      <c r="R138" s="12"/>
    </row>
    <row r="139" spans="1:19" x14ac:dyDescent="0.2">
      <c r="A139" s="23">
        <v>37</v>
      </c>
      <c r="B139" s="23">
        <v>0.40150000000000002</v>
      </c>
      <c r="C139" s="12">
        <f t="shared" si="6"/>
        <v>8.9307692307692328</v>
      </c>
      <c r="D139" s="12">
        <f t="shared" si="7"/>
        <v>26.792307692307698</v>
      </c>
      <c r="F139" s="23">
        <v>1</v>
      </c>
      <c r="G139" s="23">
        <v>8.9499999999999996E-2</v>
      </c>
      <c r="R139" s="12"/>
    </row>
    <row r="140" spans="1:19" x14ac:dyDescent="0.2">
      <c r="A140" s="23">
        <v>38</v>
      </c>
      <c r="B140" s="23">
        <v>0.48749999999999999</v>
      </c>
      <c r="C140" s="12">
        <f t="shared" si="6"/>
        <v>11.135897435897437</v>
      </c>
      <c r="D140" s="12">
        <f t="shared" si="7"/>
        <v>33.407692307692315</v>
      </c>
      <c r="F140" s="23">
        <v>2</v>
      </c>
      <c r="G140" s="23">
        <v>0.13200000000000001</v>
      </c>
    </row>
    <row r="141" spans="1:19" x14ac:dyDescent="0.2">
      <c r="A141" s="23">
        <v>46</v>
      </c>
      <c r="B141" s="23">
        <v>0.5675</v>
      </c>
      <c r="C141" s="12">
        <f t="shared" si="6"/>
        <v>13.187179487179487</v>
      </c>
      <c r="D141" s="12">
        <f t="shared" si="7"/>
        <v>39.561538461538461</v>
      </c>
      <c r="I141" s="13">
        <v>5</v>
      </c>
      <c r="J141" s="13">
        <v>0.214</v>
      </c>
    </row>
    <row r="142" spans="1:19" x14ac:dyDescent="0.2">
      <c r="A142" s="23">
        <v>50</v>
      </c>
      <c r="B142" s="23">
        <v>0.64149999999999996</v>
      </c>
      <c r="C142" s="12">
        <f t="shared" si="6"/>
        <v>15.084615384615383</v>
      </c>
      <c r="D142" s="12">
        <f t="shared" si="7"/>
        <v>45.253846153846148</v>
      </c>
      <c r="F142" s="23">
        <v>10</v>
      </c>
      <c r="G142" s="23">
        <v>0.45500000000000002</v>
      </c>
    </row>
    <row r="143" spans="1:19" x14ac:dyDescent="0.2">
      <c r="A143" s="23">
        <v>58</v>
      </c>
      <c r="B143" s="23">
        <v>0.39950000000000002</v>
      </c>
      <c r="C143" s="12">
        <f t="shared" si="6"/>
        <v>8.8794871794871817</v>
      </c>
      <c r="D143" s="12">
        <f t="shared" si="7"/>
        <v>26.638461538461545</v>
      </c>
      <c r="F143" s="23">
        <v>20</v>
      </c>
      <c r="G143" s="23">
        <v>0.82750000000000001</v>
      </c>
    </row>
  </sheetData>
  <conditionalFormatting sqref="B4:B64">
    <cfRule type="cellIs" dxfId="0" priority="1" operator="greaterThan">
      <formula>0.727</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
  <sheetViews>
    <sheetView topLeftCell="A18" workbookViewId="0">
      <selection activeCell="B38" sqref="B38:M45"/>
    </sheetView>
  </sheetViews>
  <sheetFormatPr baseColWidth="10" defaultColWidth="8.83203125" defaultRowHeight="15" x14ac:dyDescent="0.2"/>
  <sheetData>
    <row r="1" spans="1:13" x14ac:dyDescent="0.2">
      <c r="A1" t="s">
        <v>198</v>
      </c>
    </row>
    <row r="2" spans="1:13" x14ac:dyDescent="0.2">
      <c r="A2" t="s">
        <v>199</v>
      </c>
    </row>
    <row r="3" spans="1:13" x14ac:dyDescent="0.2">
      <c r="A3" t="s">
        <v>101</v>
      </c>
    </row>
    <row r="4" spans="1:13" x14ac:dyDescent="0.2">
      <c r="B4">
        <v>1</v>
      </c>
      <c r="C4">
        <v>2</v>
      </c>
      <c r="D4">
        <v>3</v>
      </c>
      <c r="E4">
        <v>4</v>
      </c>
      <c r="F4">
        <v>5</v>
      </c>
      <c r="G4">
        <v>6</v>
      </c>
      <c r="H4">
        <v>7</v>
      </c>
      <c r="I4">
        <v>8</v>
      </c>
      <c r="J4">
        <v>9</v>
      </c>
      <c r="K4">
        <v>10</v>
      </c>
      <c r="L4">
        <v>11</v>
      </c>
      <c r="M4">
        <v>12</v>
      </c>
    </row>
    <row r="5" spans="1:13" x14ac:dyDescent="0.2">
      <c r="A5" t="s">
        <v>35</v>
      </c>
      <c r="B5" t="s">
        <v>185</v>
      </c>
      <c r="C5" t="s">
        <v>185</v>
      </c>
      <c r="D5" t="s">
        <v>186</v>
      </c>
      <c r="E5" t="s">
        <v>186</v>
      </c>
      <c r="F5" t="s">
        <v>187</v>
      </c>
      <c r="G5" t="s">
        <v>187</v>
      </c>
      <c r="H5" t="s">
        <v>188</v>
      </c>
      <c r="I5" t="s">
        <v>188</v>
      </c>
      <c r="J5" t="s">
        <v>189</v>
      </c>
      <c r="K5" t="s">
        <v>189</v>
      </c>
      <c r="L5" t="s">
        <v>190</v>
      </c>
      <c r="M5" t="s">
        <v>190</v>
      </c>
    </row>
    <row r="6" spans="1:13" x14ac:dyDescent="0.2">
      <c r="A6" t="s">
        <v>36</v>
      </c>
      <c r="B6" t="s">
        <v>191</v>
      </c>
      <c r="C6" t="s">
        <v>191</v>
      </c>
      <c r="D6" t="s">
        <v>192</v>
      </c>
      <c r="E6" t="s">
        <v>192</v>
      </c>
      <c r="F6" t="s">
        <v>193</v>
      </c>
      <c r="G6" t="s">
        <v>193</v>
      </c>
      <c r="H6">
        <v>1</v>
      </c>
      <c r="I6">
        <v>1</v>
      </c>
      <c r="J6">
        <v>2</v>
      </c>
      <c r="K6">
        <v>2</v>
      </c>
      <c r="L6">
        <v>3</v>
      </c>
      <c r="M6">
        <v>3</v>
      </c>
    </row>
    <row r="7" spans="1:13" x14ac:dyDescent="0.2">
      <c r="A7" t="s">
        <v>37</v>
      </c>
      <c r="B7">
        <v>4</v>
      </c>
      <c r="C7">
        <v>4</v>
      </c>
      <c r="D7">
        <v>5</v>
      </c>
      <c r="E7">
        <v>5</v>
      </c>
      <c r="F7">
        <v>6</v>
      </c>
      <c r="G7">
        <v>6</v>
      </c>
      <c r="H7">
        <v>7</v>
      </c>
      <c r="I7">
        <v>7</v>
      </c>
      <c r="J7">
        <v>8</v>
      </c>
      <c r="K7">
        <v>8</v>
      </c>
      <c r="L7">
        <v>9</v>
      </c>
      <c r="M7">
        <v>9</v>
      </c>
    </row>
    <row r="8" spans="1:13" x14ac:dyDescent="0.2">
      <c r="A8" t="s">
        <v>38</v>
      </c>
      <c r="B8">
        <v>10</v>
      </c>
      <c r="C8">
        <v>10</v>
      </c>
      <c r="D8">
        <v>11</v>
      </c>
      <c r="E8">
        <v>11</v>
      </c>
      <c r="F8">
        <v>12</v>
      </c>
      <c r="G8">
        <v>12</v>
      </c>
      <c r="H8">
        <v>13</v>
      </c>
      <c r="I8">
        <v>13</v>
      </c>
      <c r="J8">
        <v>14</v>
      </c>
      <c r="K8">
        <v>14</v>
      </c>
      <c r="L8">
        <v>15</v>
      </c>
      <c r="M8">
        <v>15</v>
      </c>
    </row>
    <row r="9" spans="1:13" x14ac:dyDescent="0.2">
      <c r="A9" t="s">
        <v>39</v>
      </c>
      <c r="B9">
        <v>16</v>
      </c>
      <c r="C9">
        <v>16</v>
      </c>
      <c r="D9">
        <v>17</v>
      </c>
      <c r="E9">
        <v>17</v>
      </c>
      <c r="F9">
        <v>18</v>
      </c>
      <c r="G9">
        <v>18</v>
      </c>
      <c r="H9">
        <v>19</v>
      </c>
      <c r="I9">
        <v>19</v>
      </c>
      <c r="J9">
        <v>20</v>
      </c>
      <c r="K9">
        <v>20</v>
      </c>
      <c r="L9">
        <v>21</v>
      </c>
      <c r="M9">
        <v>21</v>
      </c>
    </row>
    <row r="10" spans="1:13" x14ac:dyDescent="0.2">
      <c r="A10" t="s">
        <v>40</v>
      </c>
      <c r="B10">
        <v>22</v>
      </c>
      <c r="C10">
        <v>22</v>
      </c>
      <c r="D10">
        <v>23</v>
      </c>
      <c r="E10">
        <v>23</v>
      </c>
      <c r="F10">
        <v>24</v>
      </c>
      <c r="G10">
        <v>24</v>
      </c>
      <c r="H10">
        <v>25</v>
      </c>
      <c r="I10">
        <v>25</v>
      </c>
      <c r="J10">
        <v>26</v>
      </c>
      <c r="K10">
        <v>26</v>
      </c>
      <c r="L10">
        <v>27</v>
      </c>
      <c r="M10">
        <v>27</v>
      </c>
    </row>
    <row r="11" spans="1:13" x14ac:dyDescent="0.2">
      <c r="A11" t="s">
        <v>41</v>
      </c>
      <c r="B11">
        <v>28</v>
      </c>
      <c r="C11">
        <v>28</v>
      </c>
      <c r="D11">
        <v>29</v>
      </c>
      <c r="E11">
        <v>29</v>
      </c>
      <c r="F11">
        <v>30</v>
      </c>
      <c r="G11">
        <v>30</v>
      </c>
      <c r="H11">
        <v>31</v>
      </c>
      <c r="I11">
        <v>31</v>
      </c>
      <c r="J11">
        <v>32</v>
      </c>
      <c r="K11">
        <v>32</v>
      </c>
      <c r="L11">
        <v>33</v>
      </c>
      <c r="M11">
        <v>33</v>
      </c>
    </row>
    <row r="12" spans="1:13" x14ac:dyDescent="0.2">
      <c r="A12" t="s">
        <v>42</v>
      </c>
      <c r="B12">
        <v>34</v>
      </c>
      <c r="C12">
        <v>34</v>
      </c>
      <c r="D12">
        <v>35</v>
      </c>
      <c r="E12">
        <v>35</v>
      </c>
      <c r="F12">
        <v>36</v>
      </c>
      <c r="G12">
        <v>36</v>
      </c>
      <c r="H12">
        <v>37</v>
      </c>
      <c r="I12">
        <v>37</v>
      </c>
      <c r="J12">
        <v>38</v>
      </c>
      <c r="K12">
        <v>38</v>
      </c>
      <c r="L12">
        <v>39</v>
      </c>
      <c r="M12">
        <v>39</v>
      </c>
    </row>
    <row r="13" spans="1:13" x14ac:dyDescent="0.2">
      <c r="A13" t="s">
        <v>111</v>
      </c>
    </row>
    <row r="14" spans="1:13" x14ac:dyDescent="0.2">
      <c r="B14">
        <v>1</v>
      </c>
      <c r="C14">
        <v>2</v>
      </c>
      <c r="D14">
        <v>3</v>
      </c>
      <c r="E14">
        <v>4</v>
      </c>
      <c r="F14">
        <v>5</v>
      </c>
      <c r="G14">
        <v>6</v>
      </c>
      <c r="H14">
        <v>7</v>
      </c>
      <c r="I14">
        <v>8</v>
      </c>
      <c r="J14">
        <v>9</v>
      </c>
      <c r="K14">
        <v>10</v>
      </c>
      <c r="L14">
        <v>11</v>
      </c>
      <c r="M14">
        <v>12</v>
      </c>
    </row>
    <row r="15" spans="1:13" x14ac:dyDescent="0.2">
      <c r="A15" t="s">
        <v>35</v>
      </c>
      <c r="B15">
        <v>40</v>
      </c>
      <c r="C15">
        <v>40</v>
      </c>
      <c r="D15">
        <v>41</v>
      </c>
      <c r="E15">
        <v>41</v>
      </c>
      <c r="F15">
        <v>42</v>
      </c>
      <c r="G15">
        <v>42</v>
      </c>
      <c r="H15">
        <v>43</v>
      </c>
      <c r="I15">
        <v>43</v>
      </c>
      <c r="J15">
        <v>44</v>
      </c>
      <c r="K15">
        <v>44</v>
      </c>
      <c r="L15">
        <v>45</v>
      </c>
      <c r="M15">
        <v>45</v>
      </c>
    </row>
    <row r="16" spans="1:13" x14ac:dyDescent="0.2">
      <c r="A16" t="s">
        <v>36</v>
      </c>
      <c r="B16">
        <v>46</v>
      </c>
      <c r="C16">
        <v>46</v>
      </c>
      <c r="D16">
        <v>47</v>
      </c>
      <c r="E16">
        <v>47</v>
      </c>
      <c r="F16">
        <v>48</v>
      </c>
      <c r="G16">
        <v>48</v>
      </c>
      <c r="H16">
        <v>49</v>
      </c>
      <c r="I16">
        <v>49</v>
      </c>
      <c r="J16">
        <v>50</v>
      </c>
      <c r="K16">
        <v>50</v>
      </c>
      <c r="L16" t="s">
        <v>194</v>
      </c>
      <c r="M16" t="s">
        <v>194</v>
      </c>
    </row>
    <row r="17" spans="1:13" x14ac:dyDescent="0.2">
      <c r="A17" t="s">
        <v>37</v>
      </c>
      <c r="B17" t="s">
        <v>195</v>
      </c>
      <c r="C17" t="s">
        <v>195</v>
      </c>
      <c r="D17" t="s">
        <v>196</v>
      </c>
      <c r="E17" t="s">
        <v>196</v>
      </c>
      <c r="F17" t="s">
        <v>197</v>
      </c>
      <c r="G17" t="s">
        <v>197</v>
      </c>
      <c r="H17">
        <v>0</v>
      </c>
      <c r="I17">
        <v>0</v>
      </c>
      <c r="J17">
        <v>0</v>
      </c>
      <c r="K17">
        <v>0</v>
      </c>
      <c r="L17">
        <v>0</v>
      </c>
      <c r="M17">
        <v>0</v>
      </c>
    </row>
    <row r="18" spans="1:13" x14ac:dyDescent="0.2">
      <c r="A18" t="s">
        <v>38</v>
      </c>
      <c r="B18">
        <v>0</v>
      </c>
      <c r="C18">
        <v>0</v>
      </c>
      <c r="D18">
        <v>0</v>
      </c>
      <c r="E18">
        <v>0</v>
      </c>
      <c r="F18">
        <v>0</v>
      </c>
      <c r="G18">
        <v>0</v>
      </c>
      <c r="H18">
        <v>0</v>
      </c>
      <c r="I18">
        <v>0</v>
      </c>
      <c r="J18">
        <v>0</v>
      </c>
      <c r="K18">
        <v>0</v>
      </c>
      <c r="L18">
        <v>0</v>
      </c>
      <c r="M18">
        <v>0</v>
      </c>
    </row>
    <row r="19" spans="1:13" x14ac:dyDescent="0.2">
      <c r="A19" t="s">
        <v>39</v>
      </c>
      <c r="B19">
        <v>0</v>
      </c>
      <c r="C19">
        <v>0</v>
      </c>
      <c r="D19">
        <v>0</v>
      </c>
      <c r="E19">
        <v>0</v>
      </c>
      <c r="F19">
        <v>0</v>
      </c>
      <c r="G19">
        <v>0</v>
      </c>
      <c r="H19">
        <v>0</v>
      </c>
      <c r="I19">
        <v>0</v>
      </c>
      <c r="J19">
        <v>0</v>
      </c>
      <c r="K19">
        <v>0</v>
      </c>
      <c r="L19">
        <v>0</v>
      </c>
      <c r="M19">
        <v>0</v>
      </c>
    </row>
    <row r="20" spans="1:13" x14ac:dyDescent="0.2">
      <c r="A20" t="s">
        <v>40</v>
      </c>
      <c r="B20">
        <v>0</v>
      </c>
      <c r="C20">
        <v>0</v>
      </c>
      <c r="D20">
        <v>0</v>
      </c>
      <c r="E20">
        <v>0</v>
      </c>
      <c r="F20">
        <v>0</v>
      </c>
      <c r="G20">
        <v>0</v>
      </c>
      <c r="H20">
        <v>0</v>
      </c>
      <c r="I20">
        <v>0</v>
      </c>
      <c r="J20">
        <v>0</v>
      </c>
      <c r="K20">
        <v>0</v>
      </c>
      <c r="L20">
        <v>0</v>
      </c>
      <c r="M20">
        <v>0</v>
      </c>
    </row>
    <row r="21" spans="1:13" x14ac:dyDescent="0.2">
      <c r="A21" t="s">
        <v>41</v>
      </c>
      <c r="B21">
        <v>0</v>
      </c>
      <c r="C21">
        <v>0</v>
      </c>
      <c r="D21">
        <v>0</v>
      </c>
      <c r="E21">
        <v>0</v>
      </c>
      <c r="F21">
        <v>0</v>
      </c>
      <c r="G21">
        <v>0</v>
      </c>
      <c r="H21">
        <v>0</v>
      </c>
      <c r="I21">
        <v>0</v>
      </c>
      <c r="J21">
        <v>0</v>
      </c>
      <c r="K21">
        <v>0</v>
      </c>
      <c r="L21">
        <v>0</v>
      </c>
      <c r="M21">
        <v>0</v>
      </c>
    </row>
    <row r="22" spans="1:13" x14ac:dyDescent="0.2">
      <c r="A22" t="s">
        <v>42</v>
      </c>
      <c r="B22">
        <v>0</v>
      </c>
      <c r="C22">
        <v>0</v>
      </c>
      <c r="D22">
        <v>0</v>
      </c>
      <c r="E22">
        <v>0</v>
      </c>
      <c r="F22">
        <v>0</v>
      </c>
      <c r="G22">
        <v>0</v>
      </c>
      <c r="H22">
        <v>0</v>
      </c>
      <c r="I22">
        <v>0</v>
      </c>
      <c r="J22">
        <v>0</v>
      </c>
      <c r="K22">
        <v>0</v>
      </c>
      <c r="L22">
        <v>0</v>
      </c>
      <c r="M22">
        <v>0</v>
      </c>
    </row>
    <row r="24" spans="1:13" x14ac:dyDescent="0.2">
      <c r="A24" s="41" t="s">
        <v>216</v>
      </c>
      <c r="B24" s="41"/>
      <c r="C24" s="41"/>
      <c r="D24" s="41"/>
      <c r="E24" s="41"/>
      <c r="F24" s="41"/>
      <c r="G24" s="41"/>
    </row>
    <row r="25" spans="1:13" x14ac:dyDescent="0.2">
      <c r="A25" s="41" t="s">
        <v>217</v>
      </c>
      <c r="B25" s="41"/>
      <c r="C25" s="41"/>
      <c r="D25" s="41"/>
      <c r="E25" s="41"/>
      <c r="F25" s="41"/>
      <c r="G25" s="41"/>
    </row>
    <row r="26" spans="1:13" x14ac:dyDescent="0.2">
      <c r="A26" t="s">
        <v>101</v>
      </c>
    </row>
    <row r="27" spans="1:13" x14ac:dyDescent="0.2">
      <c r="B27">
        <v>1</v>
      </c>
      <c r="C27">
        <v>2</v>
      </c>
      <c r="D27">
        <v>3</v>
      </c>
      <c r="E27">
        <v>4</v>
      </c>
      <c r="F27">
        <v>5</v>
      </c>
      <c r="G27">
        <v>6</v>
      </c>
      <c r="H27">
        <v>7</v>
      </c>
      <c r="I27">
        <v>8</v>
      </c>
      <c r="J27">
        <v>9</v>
      </c>
      <c r="K27">
        <v>10</v>
      </c>
      <c r="L27">
        <v>11</v>
      </c>
      <c r="M27">
        <v>12</v>
      </c>
    </row>
    <row r="28" spans="1:13" x14ac:dyDescent="0.2">
      <c r="A28" t="s">
        <v>35</v>
      </c>
      <c r="B28" t="s">
        <v>185</v>
      </c>
      <c r="C28" t="s">
        <v>185</v>
      </c>
      <c r="D28" t="s">
        <v>186</v>
      </c>
      <c r="E28" t="s">
        <v>186</v>
      </c>
      <c r="F28" t="s">
        <v>187</v>
      </c>
      <c r="G28" t="s">
        <v>187</v>
      </c>
      <c r="H28" t="s">
        <v>188</v>
      </c>
      <c r="I28" t="s">
        <v>188</v>
      </c>
      <c r="J28" t="s">
        <v>189</v>
      </c>
      <c r="K28" t="s">
        <v>189</v>
      </c>
      <c r="L28" t="s">
        <v>190</v>
      </c>
      <c r="M28" t="s">
        <v>190</v>
      </c>
    </row>
    <row r="29" spans="1:13" x14ac:dyDescent="0.2">
      <c r="A29" t="s">
        <v>36</v>
      </c>
      <c r="B29" t="s">
        <v>191</v>
      </c>
      <c r="C29" t="s">
        <v>191</v>
      </c>
      <c r="D29" t="s">
        <v>192</v>
      </c>
      <c r="E29" t="s">
        <v>192</v>
      </c>
      <c r="F29" t="s">
        <v>193</v>
      </c>
      <c r="G29" t="s">
        <v>193</v>
      </c>
      <c r="H29">
        <v>1</v>
      </c>
      <c r="I29">
        <v>1</v>
      </c>
      <c r="J29">
        <v>2</v>
      </c>
      <c r="K29">
        <v>2</v>
      </c>
      <c r="L29">
        <v>3</v>
      </c>
      <c r="M29">
        <v>3</v>
      </c>
    </row>
    <row r="30" spans="1:13" x14ac:dyDescent="0.2">
      <c r="A30" t="s">
        <v>37</v>
      </c>
      <c r="B30">
        <v>4</v>
      </c>
      <c r="C30">
        <v>4</v>
      </c>
      <c r="D30">
        <v>5</v>
      </c>
      <c r="E30">
        <v>5</v>
      </c>
      <c r="F30">
        <v>6</v>
      </c>
      <c r="G30">
        <v>6</v>
      </c>
      <c r="H30">
        <v>7</v>
      </c>
      <c r="I30">
        <v>7</v>
      </c>
      <c r="J30">
        <v>8</v>
      </c>
      <c r="K30">
        <v>8</v>
      </c>
      <c r="L30">
        <v>9</v>
      </c>
      <c r="M30">
        <v>9</v>
      </c>
    </row>
    <row r="31" spans="1:13" x14ac:dyDescent="0.2">
      <c r="A31" t="s">
        <v>38</v>
      </c>
      <c r="B31">
        <v>10</v>
      </c>
      <c r="C31">
        <v>10</v>
      </c>
      <c r="D31">
        <v>11</v>
      </c>
      <c r="E31">
        <v>11</v>
      </c>
      <c r="F31">
        <v>12</v>
      </c>
      <c r="G31">
        <v>12</v>
      </c>
      <c r="H31">
        <v>13</v>
      </c>
      <c r="I31">
        <v>13</v>
      </c>
      <c r="J31">
        <v>14</v>
      </c>
      <c r="K31">
        <v>14</v>
      </c>
      <c r="L31">
        <v>15</v>
      </c>
      <c r="M31">
        <v>15</v>
      </c>
    </row>
    <row r="32" spans="1:13" x14ac:dyDescent="0.2">
      <c r="A32" t="s">
        <v>39</v>
      </c>
      <c r="B32">
        <v>16</v>
      </c>
      <c r="C32">
        <v>16</v>
      </c>
      <c r="D32">
        <v>17</v>
      </c>
      <c r="E32">
        <v>17</v>
      </c>
      <c r="F32">
        <v>18</v>
      </c>
      <c r="G32">
        <v>18</v>
      </c>
      <c r="H32">
        <v>19</v>
      </c>
      <c r="I32">
        <v>19</v>
      </c>
      <c r="J32">
        <v>20</v>
      </c>
      <c r="K32">
        <v>20</v>
      </c>
      <c r="L32">
        <v>21</v>
      </c>
      <c r="M32">
        <v>21</v>
      </c>
    </row>
    <row r="33" spans="1:13" x14ac:dyDescent="0.2">
      <c r="A33" t="s">
        <v>40</v>
      </c>
      <c r="B33">
        <v>22</v>
      </c>
      <c r="C33">
        <v>22</v>
      </c>
      <c r="D33">
        <v>23</v>
      </c>
      <c r="E33">
        <v>23</v>
      </c>
      <c r="F33">
        <v>24</v>
      </c>
      <c r="G33">
        <v>24</v>
      </c>
      <c r="H33">
        <v>25</v>
      </c>
      <c r="I33">
        <v>25</v>
      </c>
      <c r="J33">
        <v>26</v>
      </c>
      <c r="K33">
        <v>26</v>
      </c>
      <c r="L33">
        <v>27</v>
      </c>
      <c r="M33">
        <v>27</v>
      </c>
    </row>
    <row r="34" spans="1:13" x14ac:dyDescent="0.2">
      <c r="A34" t="s">
        <v>41</v>
      </c>
      <c r="B34">
        <v>28</v>
      </c>
      <c r="C34">
        <v>28</v>
      </c>
      <c r="D34">
        <v>29</v>
      </c>
      <c r="E34">
        <v>29</v>
      </c>
      <c r="F34">
        <v>30</v>
      </c>
      <c r="G34">
        <v>30</v>
      </c>
      <c r="H34">
        <v>31</v>
      </c>
      <c r="I34">
        <v>31</v>
      </c>
      <c r="J34">
        <v>32</v>
      </c>
      <c r="K34">
        <v>32</v>
      </c>
      <c r="L34">
        <v>33</v>
      </c>
      <c r="M34">
        <v>33</v>
      </c>
    </row>
    <row r="35" spans="1:13" x14ac:dyDescent="0.2">
      <c r="A35" t="s">
        <v>42</v>
      </c>
      <c r="B35">
        <v>34</v>
      </c>
      <c r="C35">
        <v>34</v>
      </c>
      <c r="D35">
        <v>35</v>
      </c>
      <c r="E35">
        <v>35</v>
      </c>
      <c r="F35">
        <v>36</v>
      </c>
      <c r="G35">
        <v>36</v>
      </c>
      <c r="H35">
        <v>37</v>
      </c>
      <c r="I35">
        <v>37</v>
      </c>
      <c r="J35">
        <v>38</v>
      </c>
      <c r="K35">
        <v>38</v>
      </c>
      <c r="L35">
        <v>39</v>
      </c>
      <c r="M35">
        <v>39</v>
      </c>
    </row>
    <row r="36" spans="1:13" x14ac:dyDescent="0.2">
      <c r="A36" t="s">
        <v>111</v>
      </c>
    </row>
    <row r="37" spans="1:13" x14ac:dyDescent="0.2">
      <c r="B37">
        <v>1</v>
      </c>
      <c r="C37">
        <v>2</v>
      </c>
      <c r="D37">
        <v>3</v>
      </c>
      <c r="E37">
        <v>4</v>
      </c>
      <c r="F37">
        <v>5</v>
      </c>
      <c r="G37">
        <v>6</v>
      </c>
      <c r="H37">
        <v>7</v>
      </c>
      <c r="I37">
        <v>8</v>
      </c>
      <c r="J37">
        <v>9</v>
      </c>
      <c r="K37">
        <v>10</v>
      </c>
      <c r="L37">
        <v>11</v>
      </c>
      <c r="M37">
        <v>12</v>
      </c>
    </row>
    <row r="38" spans="1:13" x14ac:dyDescent="0.2">
      <c r="A38" t="s">
        <v>35</v>
      </c>
      <c r="B38">
        <v>40</v>
      </c>
      <c r="C38">
        <v>40</v>
      </c>
      <c r="D38">
        <v>41</v>
      </c>
      <c r="E38">
        <v>41</v>
      </c>
      <c r="F38">
        <v>42</v>
      </c>
      <c r="G38">
        <v>42</v>
      </c>
      <c r="H38">
        <v>43</v>
      </c>
      <c r="I38">
        <v>43</v>
      </c>
      <c r="J38">
        <v>44</v>
      </c>
      <c r="K38">
        <v>44</v>
      </c>
      <c r="L38">
        <v>45</v>
      </c>
      <c r="M38">
        <v>45</v>
      </c>
    </row>
    <row r="39" spans="1:13" x14ac:dyDescent="0.2">
      <c r="A39" t="s">
        <v>36</v>
      </c>
      <c r="B39">
        <v>46</v>
      </c>
      <c r="C39">
        <v>46</v>
      </c>
      <c r="D39">
        <v>47</v>
      </c>
      <c r="E39">
        <v>47</v>
      </c>
      <c r="F39">
        <v>48</v>
      </c>
      <c r="G39">
        <v>48</v>
      </c>
      <c r="H39">
        <v>49</v>
      </c>
      <c r="I39">
        <v>49</v>
      </c>
      <c r="J39">
        <v>50</v>
      </c>
      <c r="K39">
        <v>50</v>
      </c>
      <c r="L39">
        <v>51</v>
      </c>
      <c r="M39">
        <v>51</v>
      </c>
    </row>
    <row r="40" spans="1:13" x14ac:dyDescent="0.2">
      <c r="A40" t="s">
        <v>37</v>
      </c>
      <c r="B40">
        <v>52</v>
      </c>
      <c r="C40">
        <v>52</v>
      </c>
      <c r="D40">
        <v>53</v>
      </c>
      <c r="E40">
        <v>53</v>
      </c>
      <c r="F40">
        <v>54</v>
      </c>
      <c r="G40">
        <v>54</v>
      </c>
      <c r="H40">
        <v>55</v>
      </c>
      <c r="I40">
        <v>55</v>
      </c>
      <c r="J40">
        <v>56</v>
      </c>
      <c r="K40">
        <v>56</v>
      </c>
      <c r="L40">
        <v>57</v>
      </c>
      <c r="M40">
        <v>57</v>
      </c>
    </row>
    <row r="41" spans="1:13" x14ac:dyDescent="0.2">
      <c r="A41" t="s">
        <v>38</v>
      </c>
      <c r="B41">
        <v>58</v>
      </c>
      <c r="C41">
        <v>58</v>
      </c>
      <c r="D41">
        <v>59</v>
      </c>
      <c r="E41">
        <v>59</v>
      </c>
      <c r="F41">
        <v>60</v>
      </c>
      <c r="G41">
        <v>60</v>
      </c>
      <c r="H41" t="s">
        <v>194</v>
      </c>
      <c r="I41" t="s">
        <v>194</v>
      </c>
      <c r="J41" t="s">
        <v>195</v>
      </c>
      <c r="K41" t="s">
        <v>195</v>
      </c>
      <c r="L41" t="s">
        <v>196</v>
      </c>
      <c r="M41" t="s">
        <v>196</v>
      </c>
    </row>
    <row r="42" spans="1:13" x14ac:dyDescent="0.2">
      <c r="A42" t="s">
        <v>39</v>
      </c>
      <c r="B42" t="s">
        <v>197</v>
      </c>
      <c r="C42" t="s">
        <v>197</v>
      </c>
      <c r="D42">
        <v>0</v>
      </c>
      <c r="E42">
        <v>0</v>
      </c>
      <c r="F42">
        <v>0</v>
      </c>
      <c r="G42">
        <v>0</v>
      </c>
      <c r="H42">
        <v>0</v>
      </c>
      <c r="I42">
        <v>0</v>
      </c>
      <c r="J42">
        <v>0</v>
      </c>
      <c r="K42">
        <v>0</v>
      </c>
      <c r="L42">
        <v>0</v>
      </c>
      <c r="M42">
        <v>0</v>
      </c>
    </row>
    <row r="43" spans="1:13" x14ac:dyDescent="0.2">
      <c r="A43" t="s">
        <v>40</v>
      </c>
      <c r="B43">
        <v>0</v>
      </c>
      <c r="C43">
        <v>0</v>
      </c>
      <c r="D43">
        <v>0</v>
      </c>
      <c r="E43">
        <v>0</v>
      </c>
      <c r="F43">
        <v>0</v>
      </c>
      <c r="G43">
        <v>0</v>
      </c>
      <c r="H43">
        <v>0</v>
      </c>
      <c r="I43">
        <v>0</v>
      </c>
      <c r="J43">
        <v>0</v>
      </c>
      <c r="K43">
        <v>0</v>
      </c>
      <c r="L43">
        <v>0</v>
      </c>
      <c r="M43">
        <v>0</v>
      </c>
    </row>
    <row r="44" spans="1:13" x14ac:dyDescent="0.2">
      <c r="A44" t="s">
        <v>41</v>
      </c>
      <c r="B44">
        <v>0</v>
      </c>
      <c r="C44">
        <v>0</v>
      </c>
      <c r="D44">
        <v>0</v>
      </c>
      <c r="E44">
        <v>0</v>
      </c>
      <c r="F44">
        <v>0</v>
      </c>
      <c r="G44">
        <v>0</v>
      </c>
      <c r="H44">
        <v>0</v>
      </c>
      <c r="I44">
        <v>0</v>
      </c>
      <c r="J44">
        <v>0</v>
      </c>
      <c r="K44">
        <v>0</v>
      </c>
      <c r="L44">
        <v>0</v>
      </c>
      <c r="M44">
        <v>0</v>
      </c>
    </row>
    <row r="45" spans="1:13" x14ac:dyDescent="0.2">
      <c r="A45" t="s">
        <v>42</v>
      </c>
      <c r="B45">
        <v>0</v>
      </c>
      <c r="C45">
        <v>0</v>
      </c>
      <c r="D45">
        <v>0</v>
      </c>
      <c r="E45">
        <v>0</v>
      </c>
      <c r="F45">
        <v>0</v>
      </c>
      <c r="G45">
        <v>0</v>
      </c>
      <c r="H45">
        <v>0</v>
      </c>
      <c r="I45">
        <v>0</v>
      </c>
      <c r="J45">
        <v>0</v>
      </c>
      <c r="K45">
        <v>0</v>
      </c>
      <c r="L45">
        <v>0</v>
      </c>
      <c r="M45">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G135"/>
  <sheetViews>
    <sheetView topLeftCell="AW68" workbookViewId="0">
      <selection activeCell="BP77" sqref="BP77"/>
    </sheetView>
  </sheetViews>
  <sheetFormatPr baseColWidth="10" defaultColWidth="8.83203125" defaultRowHeight="15" x14ac:dyDescent="0.2"/>
  <sheetData>
    <row r="1" spans="1:20" x14ac:dyDescent="0.2">
      <c r="A1" s="9" t="s">
        <v>210</v>
      </c>
    </row>
    <row r="2" spans="1:20" x14ac:dyDescent="0.2">
      <c r="A2" t="s">
        <v>63</v>
      </c>
      <c r="B2" t="s">
        <v>45</v>
      </c>
      <c r="C2" t="s">
        <v>15</v>
      </c>
      <c r="D2" t="s">
        <v>211</v>
      </c>
      <c r="E2" t="s">
        <v>215</v>
      </c>
      <c r="F2" t="s">
        <v>212</v>
      </c>
      <c r="G2" t="s">
        <v>213</v>
      </c>
      <c r="H2" t="s">
        <v>214</v>
      </c>
      <c r="M2" t="s">
        <v>15</v>
      </c>
      <c r="N2" t="s">
        <v>45</v>
      </c>
    </row>
    <row r="3" spans="1:20" x14ac:dyDescent="0.2">
      <c r="A3" s="39" t="s">
        <v>122</v>
      </c>
      <c r="B3" s="40">
        <v>0.37</v>
      </c>
      <c r="C3">
        <f>(B3-0.0614)/0.5626</f>
        <v>0.54852470671880549</v>
      </c>
      <c r="D3">
        <v>0.2</v>
      </c>
      <c r="E3" s="34">
        <f>C3*55</f>
        <v>30.168858869534301</v>
      </c>
      <c r="F3">
        <f>E3*25</f>
        <v>754.22147173835754</v>
      </c>
      <c r="G3">
        <f>F3/D3</f>
        <v>3771.1073586917873</v>
      </c>
      <c r="H3">
        <f>(F3/1000000)/D3*100</f>
        <v>0.37711073586917876</v>
      </c>
      <c r="M3" s="39">
        <v>0</v>
      </c>
      <c r="N3" s="38">
        <v>6.0999999999999999E-2</v>
      </c>
    </row>
    <row r="4" spans="1:20" x14ac:dyDescent="0.2">
      <c r="A4" s="39" t="s">
        <v>123</v>
      </c>
      <c r="B4" s="40">
        <v>0.2485</v>
      </c>
      <c r="C4" s="37">
        <f t="shared" ref="C4:C52" si="0">(B4-0.0614)/0.5626</f>
        <v>0.33256309989335225</v>
      </c>
      <c r="D4">
        <v>0.185</v>
      </c>
      <c r="E4" s="34">
        <f>C4*55</f>
        <v>18.290970494134374</v>
      </c>
      <c r="F4" s="41">
        <f t="shared" ref="F4:F65" si="1">E4*25</f>
        <v>457.27426235335935</v>
      </c>
      <c r="G4" s="41">
        <f t="shared" ref="G4:G65" si="2">F4/D4</f>
        <v>2471.7527694776181</v>
      </c>
      <c r="H4" s="41">
        <f t="shared" ref="H4:H65" si="3">(F4/1000000)/D4*100</f>
        <v>0.24717527694776181</v>
      </c>
      <c r="M4" s="39">
        <v>0.01</v>
      </c>
      <c r="N4" s="38">
        <v>6.7000000000000004E-2</v>
      </c>
    </row>
    <row r="5" spans="1:20" x14ac:dyDescent="0.2">
      <c r="A5" s="39" t="s">
        <v>124</v>
      </c>
      <c r="B5" s="40">
        <v>0.32700000000000001</v>
      </c>
      <c r="C5" s="37">
        <f t="shared" si="0"/>
        <v>0.47209384998222542</v>
      </c>
      <c r="D5">
        <v>0.19800000000000001</v>
      </c>
      <c r="E5" s="34">
        <f t="shared" ref="E5:E65" si="4">C5*55</f>
        <v>25.9651617490224</v>
      </c>
      <c r="F5" s="41">
        <f t="shared" si="1"/>
        <v>649.12904372556</v>
      </c>
      <c r="G5" s="41">
        <f t="shared" si="2"/>
        <v>3278.4295137654544</v>
      </c>
      <c r="H5" s="41">
        <f t="shared" si="3"/>
        <v>0.32784295137654546</v>
      </c>
      <c r="M5" s="39">
        <v>0.02</v>
      </c>
      <c r="N5" s="40">
        <v>7.3499999999999996E-2</v>
      </c>
    </row>
    <row r="6" spans="1:20" x14ac:dyDescent="0.2">
      <c r="A6" s="39" t="s">
        <v>125</v>
      </c>
      <c r="B6" s="40">
        <v>0.27700000000000002</v>
      </c>
      <c r="C6" s="37">
        <f t="shared" si="0"/>
        <v>0.38322076075364381</v>
      </c>
      <c r="D6">
        <v>0.19800000000000001</v>
      </c>
      <c r="E6" s="34">
        <f t="shared" si="4"/>
        <v>21.077141841450409</v>
      </c>
      <c r="F6" s="41">
        <f t="shared" si="1"/>
        <v>526.92854603626017</v>
      </c>
      <c r="G6" s="41">
        <f t="shared" si="2"/>
        <v>2661.255283011415</v>
      </c>
      <c r="H6" s="41">
        <f t="shared" si="3"/>
        <v>0.26612552830114145</v>
      </c>
      <c r="M6" s="39">
        <v>0.05</v>
      </c>
      <c r="N6" s="40">
        <v>8.7999999999999995E-2</v>
      </c>
    </row>
    <row r="7" spans="1:20" x14ac:dyDescent="0.2">
      <c r="A7" s="39" t="s">
        <v>126</v>
      </c>
      <c r="B7" s="40">
        <v>0.32750000000000001</v>
      </c>
      <c r="C7" s="37">
        <f t="shared" si="0"/>
        <v>0.47298258087451123</v>
      </c>
      <c r="D7">
        <v>0.185</v>
      </c>
      <c r="E7" s="34">
        <f t="shared" si="4"/>
        <v>26.014041948098118</v>
      </c>
      <c r="F7" s="41">
        <f t="shared" si="1"/>
        <v>650.351048702453</v>
      </c>
      <c r="G7" s="41">
        <f t="shared" si="2"/>
        <v>3515.4110740673136</v>
      </c>
      <c r="H7" s="41">
        <f t="shared" si="3"/>
        <v>0.35154110740673133</v>
      </c>
      <c r="M7" s="39">
        <v>0.1</v>
      </c>
      <c r="N7" s="40">
        <v>0.11650000000000001</v>
      </c>
    </row>
    <row r="8" spans="1:20" x14ac:dyDescent="0.2">
      <c r="A8" s="39" t="s">
        <v>127</v>
      </c>
      <c r="B8" s="40">
        <v>0.29749999999999999</v>
      </c>
      <c r="C8" s="37">
        <f t="shared" si="0"/>
        <v>0.4196587273373622</v>
      </c>
      <c r="D8">
        <v>0.2</v>
      </c>
      <c r="E8" s="34">
        <f t="shared" si="4"/>
        <v>23.081230003554921</v>
      </c>
      <c r="F8" s="41">
        <f t="shared" si="1"/>
        <v>577.03075008887299</v>
      </c>
      <c r="G8" s="41">
        <f t="shared" si="2"/>
        <v>2885.153750444365</v>
      </c>
      <c r="H8" s="41">
        <f t="shared" si="3"/>
        <v>0.28851537504443653</v>
      </c>
      <c r="M8" s="39">
        <v>0.2</v>
      </c>
      <c r="N8" s="40">
        <v>0.17349999999999999</v>
      </c>
    </row>
    <row r="9" spans="1:20" x14ac:dyDescent="0.2">
      <c r="A9" s="39" t="s">
        <v>128</v>
      </c>
      <c r="B9" s="40">
        <v>0.32100000000000001</v>
      </c>
      <c r="C9" s="37">
        <f t="shared" si="0"/>
        <v>0.46142907927479559</v>
      </c>
      <c r="D9">
        <v>0.20399999999999999</v>
      </c>
      <c r="E9" s="34">
        <f t="shared" si="4"/>
        <v>25.378599360113757</v>
      </c>
      <c r="F9" s="41">
        <f t="shared" si="1"/>
        <v>634.46498400284395</v>
      </c>
      <c r="G9" s="41">
        <f t="shared" si="2"/>
        <v>3110.1224706021762</v>
      </c>
      <c r="H9" s="41">
        <f t="shared" si="3"/>
        <v>0.31101224706021763</v>
      </c>
      <c r="M9" s="39">
        <v>0.5</v>
      </c>
      <c r="N9" s="40">
        <v>0.34699999999999998</v>
      </c>
    </row>
    <row r="10" spans="1:20" x14ac:dyDescent="0.2">
      <c r="A10" s="39" t="s">
        <v>129</v>
      </c>
      <c r="B10" s="40">
        <v>0.26700000000000002</v>
      </c>
      <c r="C10" s="37">
        <f t="shared" si="0"/>
        <v>0.36544614290792748</v>
      </c>
      <c r="D10">
        <v>0.19600000000000001</v>
      </c>
      <c r="E10" s="34">
        <f t="shared" si="4"/>
        <v>20.09953785993601</v>
      </c>
      <c r="F10" s="41">
        <f>E10*27</f>
        <v>542.68752221827231</v>
      </c>
      <c r="G10" s="41">
        <f t="shared" si="2"/>
        <v>2768.8138888687363</v>
      </c>
      <c r="H10" s="41">
        <f t="shared" si="3"/>
        <v>0.27688138888687364</v>
      </c>
      <c r="M10" s="39">
        <v>1</v>
      </c>
      <c r="N10" s="40">
        <v>0.622</v>
      </c>
    </row>
    <row r="11" spans="1:20" x14ac:dyDescent="0.2">
      <c r="A11" s="39" t="s">
        <v>130</v>
      </c>
      <c r="B11" s="40">
        <v>0.36599999999999999</v>
      </c>
      <c r="C11" s="37">
        <f t="shared" si="0"/>
        <v>0.54141485958051905</v>
      </c>
      <c r="D11">
        <v>0.19800000000000001</v>
      </c>
      <c r="E11" s="34">
        <f t="shared" si="4"/>
        <v>29.777817276928548</v>
      </c>
      <c r="F11" s="41">
        <f t="shared" si="1"/>
        <v>744.44543192321373</v>
      </c>
      <c r="G11" s="41">
        <f t="shared" si="2"/>
        <v>3759.8254137536046</v>
      </c>
      <c r="H11" s="41">
        <f t="shared" si="3"/>
        <v>0.37598254137536041</v>
      </c>
      <c r="M11" s="39">
        <v>2</v>
      </c>
      <c r="N11" s="40">
        <v>0.97750000000000004</v>
      </c>
    </row>
    <row r="12" spans="1:20" x14ac:dyDescent="0.2">
      <c r="A12" s="39" t="s">
        <v>131</v>
      </c>
      <c r="B12" s="40">
        <v>0.22500000000000001</v>
      </c>
      <c r="C12" s="37">
        <f t="shared" si="0"/>
        <v>0.29079274795591892</v>
      </c>
      <c r="D12">
        <v>0.18</v>
      </c>
      <c r="E12" s="34">
        <f t="shared" si="4"/>
        <v>15.99360113757554</v>
      </c>
      <c r="F12" s="41">
        <f t="shared" si="1"/>
        <v>399.8400284393885</v>
      </c>
      <c r="G12" s="41">
        <f t="shared" si="2"/>
        <v>2221.3334913299364</v>
      </c>
      <c r="H12" s="41">
        <f t="shared" si="3"/>
        <v>0.22213334913299362</v>
      </c>
      <c r="T12">
        <f>270/5</f>
        <v>54</v>
      </c>
    </row>
    <row r="13" spans="1:20" x14ac:dyDescent="0.2">
      <c r="A13" s="39" t="s">
        <v>132</v>
      </c>
      <c r="B13" s="40">
        <v>0.371</v>
      </c>
      <c r="C13" s="37">
        <f t="shared" si="0"/>
        <v>0.55030216850337721</v>
      </c>
      <c r="D13">
        <v>0.20100000000000001</v>
      </c>
      <c r="E13" s="34">
        <f t="shared" si="4"/>
        <v>30.266619267685748</v>
      </c>
      <c r="F13" s="41">
        <f t="shared" si="1"/>
        <v>756.66548169214366</v>
      </c>
      <c r="G13" s="41">
        <f t="shared" si="2"/>
        <v>3764.5048840405157</v>
      </c>
      <c r="H13" s="41">
        <f t="shared" si="3"/>
        <v>0.37645048840405154</v>
      </c>
    </row>
    <row r="14" spans="1:20" x14ac:dyDescent="0.2">
      <c r="A14" s="39" t="s">
        <v>133</v>
      </c>
      <c r="B14" s="40">
        <v>0.307</v>
      </c>
      <c r="C14" s="37">
        <f t="shared" si="0"/>
        <v>0.43654461429079272</v>
      </c>
      <c r="D14">
        <v>0.19400000000000001</v>
      </c>
      <c r="E14" s="34">
        <f t="shared" si="4"/>
        <v>24.009953785993599</v>
      </c>
      <c r="F14" s="41">
        <f>E14*26</f>
        <v>624.25879843583357</v>
      </c>
      <c r="G14" s="41">
        <f t="shared" si="2"/>
        <v>3217.8288579166679</v>
      </c>
      <c r="H14" s="41">
        <f t="shared" si="3"/>
        <v>0.32178288579166675</v>
      </c>
    </row>
    <row r="15" spans="1:20" x14ac:dyDescent="0.2">
      <c r="A15" s="39" t="s">
        <v>134</v>
      </c>
      <c r="B15" s="40">
        <v>0.3075</v>
      </c>
      <c r="C15" s="37">
        <f t="shared" si="0"/>
        <v>0.43743334518307853</v>
      </c>
      <c r="D15">
        <v>0.183</v>
      </c>
      <c r="E15" s="34">
        <f t="shared" si="4"/>
        <v>24.05883398506932</v>
      </c>
      <c r="F15" s="41">
        <f>E15*26.5</f>
        <v>637.559100604337</v>
      </c>
      <c r="G15" s="41">
        <f t="shared" si="2"/>
        <v>3483.9295114991096</v>
      </c>
      <c r="H15" s="41">
        <f t="shared" si="3"/>
        <v>0.34839295114991098</v>
      </c>
    </row>
    <row r="16" spans="1:20" x14ac:dyDescent="0.2">
      <c r="A16" s="39" t="s">
        <v>135</v>
      </c>
      <c r="B16" s="40">
        <v>0.308</v>
      </c>
      <c r="C16" s="37">
        <f t="shared" si="0"/>
        <v>0.43832207607536439</v>
      </c>
      <c r="D16">
        <v>0.19600000000000001</v>
      </c>
      <c r="E16" s="34">
        <f t="shared" si="4"/>
        <v>24.107714184145042</v>
      </c>
      <c r="F16" s="41">
        <f t="shared" si="1"/>
        <v>602.69285460362607</v>
      </c>
      <c r="G16" s="41">
        <f t="shared" si="2"/>
        <v>3074.9635438960513</v>
      </c>
      <c r="H16" s="41">
        <f t="shared" si="3"/>
        <v>0.30749635438960515</v>
      </c>
    </row>
    <row r="17" spans="1:15" x14ac:dyDescent="0.2">
      <c r="A17" s="39" t="s">
        <v>136</v>
      </c>
      <c r="B17" s="40">
        <v>0.42549999999999999</v>
      </c>
      <c r="C17" s="37">
        <f t="shared" si="0"/>
        <v>0.64717383576253107</v>
      </c>
      <c r="D17">
        <v>0.21</v>
      </c>
      <c r="E17" s="34">
        <f t="shared" si="4"/>
        <v>35.594560966939206</v>
      </c>
      <c r="F17" s="41">
        <f t="shared" si="1"/>
        <v>889.86402417348017</v>
      </c>
      <c r="G17" s="41">
        <f t="shared" si="2"/>
        <v>4237.4477341594293</v>
      </c>
      <c r="H17" s="41">
        <f t="shared" si="3"/>
        <v>0.42374477341594297</v>
      </c>
    </row>
    <row r="18" spans="1:15" x14ac:dyDescent="0.2">
      <c r="A18" s="39" t="s">
        <v>137</v>
      </c>
      <c r="B18" s="40">
        <v>0.28200000000000003</v>
      </c>
      <c r="C18" s="37">
        <f t="shared" si="0"/>
        <v>0.39210806967650197</v>
      </c>
      <c r="D18">
        <v>0.20100000000000001</v>
      </c>
      <c r="E18" s="34">
        <f t="shared" si="4"/>
        <v>21.565943832207608</v>
      </c>
      <c r="F18" s="41">
        <f t="shared" si="1"/>
        <v>539.14859580519021</v>
      </c>
      <c r="G18" s="41">
        <f t="shared" si="2"/>
        <v>2682.3313224138815</v>
      </c>
      <c r="H18" s="41">
        <f t="shared" si="3"/>
        <v>0.26823313224138812</v>
      </c>
    </row>
    <row r="19" spans="1:15" x14ac:dyDescent="0.2">
      <c r="A19" s="39" t="s">
        <v>138</v>
      </c>
      <c r="B19" s="40">
        <v>0.32500000000000001</v>
      </c>
      <c r="C19" s="37">
        <f t="shared" si="0"/>
        <v>0.46853892641308215</v>
      </c>
      <c r="D19">
        <v>0.19500000000000001</v>
      </c>
      <c r="E19" s="34">
        <f t="shared" si="4"/>
        <v>25.769640952719516</v>
      </c>
      <c r="F19" s="41">
        <f t="shared" si="1"/>
        <v>644.24102381798787</v>
      </c>
      <c r="G19" s="41">
        <f t="shared" si="2"/>
        <v>3303.8001221435275</v>
      </c>
      <c r="H19" s="41">
        <f t="shared" si="3"/>
        <v>0.33038001221435276</v>
      </c>
    </row>
    <row r="20" spans="1:15" x14ac:dyDescent="0.2">
      <c r="A20" s="39" t="s">
        <v>139</v>
      </c>
      <c r="B20" s="40">
        <v>0.3135</v>
      </c>
      <c r="C20" s="37">
        <f t="shared" si="0"/>
        <v>0.44809811589050835</v>
      </c>
      <c r="D20">
        <v>0.2</v>
      </c>
      <c r="E20" s="34">
        <f t="shared" si="4"/>
        <v>24.64539637397796</v>
      </c>
      <c r="F20" s="41">
        <f t="shared" si="1"/>
        <v>616.134909349449</v>
      </c>
      <c r="G20" s="41">
        <f t="shared" si="2"/>
        <v>3080.6745467472447</v>
      </c>
      <c r="H20" s="41">
        <f t="shared" si="3"/>
        <v>0.30806745467472452</v>
      </c>
      <c r="O20">
        <f>275/5</f>
        <v>55</v>
      </c>
    </row>
    <row r="21" spans="1:15" x14ac:dyDescent="0.2">
      <c r="A21" s="39" t="s">
        <v>140</v>
      </c>
      <c r="B21" s="40">
        <v>0.309</v>
      </c>
      <c r="C21" s="37">
        <f t="shared" si="0"/>
        <v>0.440099537859936</v>
      </c>
      <c r="D21">
        <v>0.20100000000000001</v>
      </c>
      <c r="E21" s="34">
        <f t="shared" si="4"/>
        <v>24.205474582296478</v>
      </c>
      <c r="F21" s="41">
        <f t="shared" si="1"/>
        <v>605.13686455741197</v>
      </c>
      <c r="G21" s="41">
        <f t="shared" si="2"/>
        <v>3010.6311669522984</v>
      </c>
      <c r="H21" s="41">
        <f t="shared" si="3"/>
        <v>0.30106311669522978</v>
      </c>
    </row>
    <row r="22" spans="1:15" x14ac:dyDescent="0.2">
      <c r="A22" s="39" t="s">
        <v>141</v>
      </c>
      <c r="B22" s="40">
        <v>0.28200000000000003</v>
      </c>
      <c r="C22" s="37">
        <f t="shared" si="0"/>
        <v>0.39210806967650197</v>
      </c>
      <c r="D22">
        <v>0.19</v>
      </c>
      <c r="E22" s="34">
        <f t="shared" si="4"/>
        <v>21.565943832207608</v>
      </c>
      <c r="F22" s="41">
        <f t="shared" si="1"/>
        <v>539.14859580519021</v>
      </c>
      <c r="G22" s="41">
        <f t="shared" si="2"/>
        <v>2837.6241884483693</v>
      </c>
      <c r="H22" s="41">
        <f t="shared" si="3"/>
        <v>0.28376241884483694</v>
      </c>
    </row>
    <row r="23" spans="1:15" x14ac:dyDescent="0.2">
      <c r="A23" s="39" t="s">
        <v>142</v>
      </c>
      <c r="B23" s="40">
        <v>0.38850000000000001</v>
      </c>
      <c r="C23" s="37">
        <f t="shared" si="0"/>
        <v>0.58140774973338072</v>
      </c>
      <c r="D23">
        <v>0.2</v>
      </c>
      <c r="E23" s="34">
        <f t="shared" si="4"/>
        <v>31.97742623533594</v>
      </c>
      <c r="F23" s="41">
        <f t="shared" si="1"/>
        <v>799.43565588339857</v>
      </c>
      <c r="G23" s="41">
        <f t="shared" si="2"/>
        <v>3997.1782794169926</v>
      </c>
      <c r="H23" s="41">
        <f t="shared" si="3"/>
        <v>0.39971782794169924</v>
      </c>
    </row>
    <row r="24" spans="1:15" x14ac:dyDescent="0.2">
      <c r="A24" s="39" t="s">
        <v>143</v>
      </c>
      <c r="B24" s="40">
        <v>0.28599999999999998</v>
      </c>
      <c r="C24" s="37">
        <f t="shared" si="0"/>
        <v>0.39921791681478841</v>
      </c>
      <c r="D24">
        <v>0.19800000000000001</v>
      </c>
      <c r="E24" s="34">
        <f t="shared" si="4"/>
        <v>21.956985424813361</v>
      </c>
      <c r="F24" s="41">
        <f t="shared" si="1"/>
        <v>548.92463562033402</v>
      </c>
      <c r="G24" s="41">
        <f t="shared" si="2"/>
        <v>2772.3466445471413</v>
      </c>
      <c r="H24" s="41">
        <f t="shared" si="3"/>
        <v>0.27723466445471417</v>
      </c>
    </row>
    <row r="25" spans="1:15" x14ac:dyDescent="0.2">
      <c r="A25" s="39" t="s">
        <v>144</v>
      </c>
      <c r="B25" s="40">
        <v>0.40949999999999998</v>
      </c>
      <c r="C25" s="37">
        <f t="shared" si="0"/>
        <v>0.61873444720938497</v>
      </c>
      <c r="D25">
        <v>0.20599999999999999</v>
      </c>
      <c r="E25" s="34">
        <f t="shared" si="4"/>
        <v>34.030394596516174</v>
      </c>
      <c r="F25" s="41">
        <f t="shared" si="1"/>
        <v>850.75986491290439</v>
      </c>
      <c r="G25" s="41">
        <f t="shared" si="2"/>
        <v>4129.9022568587598</v>
      </c>
      <c r="H25" s="41">
        <f t="shared" si="3"/>
        <v>0.41299022568587596</v>
      </c>
    </row>
    <row r="26" spans="1:15" x14ac:dyDescent="0.2">
      <c r="A26" s="39" t="s">
        <v>145</v>
      </c>
      <c r="B26" s="40">
        <v>0.27800000000000002</v>
      </c>
      <c r="C26" s="37">
        <f t="shared" si="0"/>
        <v>0.38499822253821547</v>
      </c>
      <c r="D26">
        <v>0.183</v>
      </c>
      <c r="E26" s="34">
        <f t="shared" si="4"/>
        <v>21.174902239601852</v>
      </c>
      <c r="F26" s="41">
        <f t="shared" si="1"/>
        <v>529.37255599004629</v>
      </c>
      <c r="G26" s="41">
        <f t="shared" si="2"/>
        <v>2892.7462075958815</v>
      </c>
      <c r="H26" s="41">
        <f t="shared" si="3"/>
        <v>0.28927462075958815</v>
      </c>
    </row>
    <row r="27" spans="1:15" x14ac:dyDescent="0.2">
      <c r="A27" s="40" t="s">
        <v>146</v>
      </c>
      <c r="B27" s="40">
        <v>0.34550000000000003</v>
      </c>
      <c r="C27" s="37">
        <f t="shared" si="0"/>
        <v>0.5049768929968006</v>
      </c>
      <c r="D27">
        <v>0.20699999999999999</v>
      </c>
      <c r="E27" s="34">
        <f t="shared" si="4"/>
        <v>27.773729114824032</v>
      </c>
      <c r="F27" s="41">
        <f t="shared" si="1"/>
        <v>694.3432278706008</v>
      </c>
      <c r="G27" s="41">
        <f t="shared" si="2"/>
        <v>3354.3151104859944</v>
      </c>
      <c r="H27" s="41">
        <f t="shared" si="3"/>
        <v>0.33543151104859947</v>
      </c>
    </row>
    <row r="28" spans="1:15" x14ac:dyDescent="0.2">
      <c r="A28" s="40" t="s">
        <v>147</v>
      </c>
      <c r="B28" s="40">
        <v>0.26350000000000001</v>
      </c>
      <c r="C28" s="37">
        <f t="shared" si="0"/>
        <v>0.35922502666192679</v>
      </c>
      <c r="D28">
        <v>0.18</v>
      </c>
      <c r="E28" s="34">
        <f t="shared" si="4"/>
        <v>19.757376466405972</v>
      </c>
      <c r="F28" s="41">
        <f t="shared" si="1"/>
        <v>493.93441166014929</v>
      </c>
      <c r="G28" s="41">
        <f t="shared" si="2"/>
        <v>2744.0800647786073</v>
      </c>
      <c r="H28" s="41">
        <f t="shared" si="3"/>
        <v>0.27440800647786079</v>
      </c>
    </row>
    <row r="29" spans="1:15" x14ac:dyDescent="0.2">
      <c r="A29" s="40" t="s">
        <v>148</v>
      </c>
      <c r="B29" s="40">
        <v>0.36849999999999999</v>
      </c>
      <c r="C29" s="37">
        <f t="shared" si="0"/>
        <v>0.54585851404194807</v>
      </c>
      <c r="D29">
        <v>0.19900000000000001</v>
      </c>
      <c r="E29" s="34">
        <f t="shared" si="4"/>
        <v>30.022218272307143</v>
      </c>
      <c r="F29" s="41">
        <f t="shared" si="1"/>
        <v>750.55545680767852</v>
      </c>
      <c r="G29" s="41">
        <f t="shared" si="2"/>
        <v>3771.6354613451181</v>
      </c>
      <c r="H29" s="41">
        <f t="shared" si="3"/>
        <v>0.37716354613451181</v>
      </c>
    </row>
    <row r="30" spans="1:15" x14ac:dyDescent="0.2">
      <c r="A30" s="40" t="s">
        <v>149</v>
      </c>
      <c r="B30" s="40">
        <v>0.29149999999999998</v>
      </c>
      <c r="C30" s="37">
        <f t="shared" si="0"/>
        <v>0.40899395662993243</v>
      </c>
      <c r="D30">
        <v>0.19900000000000001</v>
      </c>
      <c r="E30" s="34">
        <f t="shared" si="4"/>
        <v>22.494667614646282</v>
      </c>
      <c r="F30" s="41">
        <f t="shared" si="1"/>
        <v>562.36669036615706</v>
      </c>
      <c r="G30" s="41">
        <f t="shared" si="2"/>
        <v>2825.9632681716434</v>
      </c>
      <c r="H30" s="41">
        <f t="shared" si="3"/>
        <v>0.28259632681716434</v>
      </c>
    </row>
    <row r="31" spans="1:15" x14ac:dyDescent="0.2">
      <c r="A31" s="40" t="s">
        <v>150</v>
      </c>
      <c r="B31" s="40">
        <v>0.373</v>
      </c>
      <c r="C31" s="37">
        <f t="shared" si="0"/>
        <v>0.55385709207252043</v>
      </c>
      <c r="D31">
        <v>0.19400000000000001</v>
      </c>
      <c r="E31" s="34">
        <f t="shared" si="4"/>
        <v>30.462140063988624</v>
      </c>
      <c r="F31" s="41">
        <f t="shared" si="1"/>
        <v>761.55350159971556</v>
      </c>
      <c r="G31" s="41">
        <f t="shared" si="2"/>
        <v>3925.5335134005954</v>
      </c>
      <c r="H31" s="41">
        <f t="shared" si="3"/>
        <v>0.39255335134005959</v>
      </c>
    </row>
    <row r="32" spans="1:15" x14ac:dyDescent="0.2">
      <c r="A32" s="40" t="s">
        <v>151</v>
      </c>
      <c r="B32" s="40">
        <v>0.27900000000000003</v>
      </c>
      <c r="C32" s="37">
        <f t="shared" si="0"/>
        <v>0.38677568432278708</v>
      </c>
      <c r="D32">
        <v>0.20200000000000001</v>
      </c>
      <c r="E32" s="34">
        <f t="shared" si="4"/>
        <v>21.272662637753289</v>
      </c>
      <c r="F32" s="41">
        <f t="shared" si="1"/>
        <v>531.81656594383219</v>
      </c>
      <c r="G32" s="41">
        <f t="shared" si="2"/>
        <v>2632.7552769496642</v>
      </c>
      <c r="H32" s="41">
        <f t="shared" si="3"/>
        <v>0.26327552769496643</v>
      </c>
    </row>
    <row r="33" spans="1:8" x14ac:dyDescent="0.2">
      <c r="A33" s="40" t="s">
        <v>152</v>
      </c>
      <c r="B33" s="40">
        <v>0.28200000000000003</v>
      </c>
      <c r="C33" s="37">
        <f t="shared" si="0"/>
        <v>0.39210806967650197</v>
      </c>
      <c r="D33">
        <v>0.17699999999999999</v>
      </c>
      <c r="E33" s="34">
        <f t="shared" si="4"/>
        <v>21.565943832207608</v>
      </c>
      <c r="F33" s="41">
        <f t="shared" si="1"/>
        <v>539.14859580519021</v>
      </c>
      <c r="G33" s="41">
        <f t="shared" si="2"/>
        <v>3046.0372644361032</v>
      </c>
      <c r="H33" s="41">
        <f t="shared" si="3"/>
        <v>0.30460372644361028</v>
      </c>
    </row>
    <row r="34" spans="1:8" x14ac:dyDescent="0.2">
      <c r="A34" s="40" t="s">
        <v>153</v>
      </c>
      <c r="B34" s="40">
        <v>0.27200000000000002</v>
      </c>
      <c r="C34" s="37">
        <f t="shared" si="0"/>
        <v>0.37433345183078565</v>
      </c>
      <c r="D34">
        <v>0.2</v>
      </c>
      <c r="E34" s="34">
        <f t="shared" si="4"/>
        <v>20.58833985069321</v>
      </c>
      <c r="F34" s="41">
        <f t="shared" si="1"/>
        <v>514.70849626733025</v>
      </c>
      <c r="G34" s="41">
        <f t="shared" si="2"/>
        <v>2573.5424813366512</v>
      </c>
      <c r="H34" s="41">
        <f t="shared" si="3"/>
        <v>0.25735424813366514</v>
      </c>
    </row>
    <row r="35" spans="1:8" x14ac:dyDescent="0.2">
      <c r="A35" s="40" t="s">
        <v>154</v>
      </c>
      <c r="B35" s="40">
        <v>0.36249999999999999</v>
      </c>
      <c r="C35" s="37">
        <f t="shared" si="0"/>
        <v>0.5351937433345183</v>
      </c>
      <c r="D35">
        <v>0.186</v>
      </c>
      <c r="E35" s="34">
        <f t="shared" si="4"/>
        <v>29.435655883398507</v>
      </c>
      <c r="F35" s="41">
        <f t="shared" si="1"/>
        <v>735.8913970849627</v>
      </c>
      <c r="G35" s="41">
        <f t="shared" si="2"/>
        <v>3956.4053606718426</v>
      </c>
      <c r="H35" s="41">
        <f t="shared" si="3"/>
        <v>0.3956405360671843</v>
      </c>
    </row>
    <row r="36" spans="1:8" x14ac:dyDescent="0.2">
      <c r="A36" s="40" t="s">
        <v>155</v>
      </c>
      <c r="B36" s="40">
        <v>0.28300000000000003</v>
      </c>
      <c r="C36" s="37">
        <f t="shared" si="0"/>
        <v>0.39388553146107363</v>
      </c>
      <c r="D36">
        <v>0.192</v>
      </c>
      <c r="E36" s="34">
        <f t="shared" si="4"/>
        <v>21.663704230359048</v>
      </c>
      <c r="F36" s="41">
        <f t="shared" si="1"/>
        <v>541.59260575897622</v>
      </c>
      <c r="G36" s="41">
        <f t="shared" si="2"/>
        <v>2820.7948216613345</v>
      </c>
      <c r="H36" s="41">
        <f t="shared" si="3"/>
        <v>0.28207948216613343</v>
      </c>
    </row>
    <row r="37" spans="1:8" x14ac:dyDescent="0.2">
      <c r="A37" s="40" t="s">
        <v>156</v>
      </c>
      <c r="B37" s="40">
        <v>0.39449999999999996</v>
      </c>
      <c r="C37" s="37">
        <f t="shared" si="0"/>
        <v>0.59207252044081049</v>
      </c>
      <c r="D37">
        <v>0.2</v>
      </c>
      <c r="E37" s="34">
        <f t="shared" si="4"/>
        <v>32.56398862424458</v>
      </c>
      <c r="F37" s="41">
        <f t="shared" si="1"/>
        <v>814.0997156061145</v>
      </c>
      <c r="G37" s="41">
        <f t="shared" si="2"/>
        <v>4070.4985780305724</v>
      </c>
      <c r="H37" s="41">
        <f t="shared" si="3"/>
        <v>0.40704985780305719</v>
      </c>
    </row>
    <row r="38" spans="1:8" x14ac:dyDescent="0.2">
      <c r="A38" s="40" t="s">
        <v>157</v>
      </c>
      <c r="B38" s="40">
        <v>0.2485</v>
      </c>
      <c r="C38" s="37">
        <f t="shared" si="0"/>
        <v>0.33256309989335225</v>
      </c>
      <c r="D38">
        <v>0.191</v>
      </c>
      <c r="E38" s="34">
        <f t="shared" si="4"/>
        <v>18.290970494134374</v>
      </c>
      <c r="F38" s="41">
        <f t="shared" si="1"/>
        <v>457.27426235335935</v>
      </c>
      <c r="G38" s="41">
        <f t="shared" si="2"/>
        <v>2394.1060856196823</v>
      </c>
      <c r="H38" s="41">
        <f t="shared" si="3"/>
        <v>0.23941060856196825</v>
      </c>
    </row>
    <row r="39" spans="1:8" x14ac:dyDescent="0.2">
      <c r="A39" s="39" t="s">
        <v>158</v>
      </c>
      <c r="B39" s="40">
        <v>0.34450000000000003</v>
      </c>
      <c r="C39" s="37">
        <f t="shared" si="0"/>
        <v>0.50319943121222899</v>
      </c>
      <c r="D39">
        <v>0.20100000000000001</v>
      </c>
      <c r="E39" s="34">
        <f t="shared" si="4"/>
        <v>27.675968716672593</v>
      </c>
      <c r="F39" s="41">
        <f t="shared" si="1"/>
        <v>691.89921791681479</v>
      </c>
      <c r="G39" s="41">
        <f t="shared" si="2"/>
        <v>3442.2846662528095</v>
      </c>
      <c r="H39" s="41">
        <f t="shared" si="3"/>
        <v>0.34422846662528095</v>
      </c>
    </row>
    <row r="40" spans="1:8" x14ac:dyDescent="0.2">
      <c r="A40" s="40" t="s">
        <v>159</v>
      </c>
      <c r="B40" s="40">
        <v>0.251</v>
      </c>
      <c r="C40" s="37">
        <f t="shared" si="0"/>
        <v>0.33700675435478133</v>
      </c>
      <c r="D40">
        <v>0.17899999999999999</v>
      </c>
      <c r="E40" s="34">
        <f t="shared" si="4"/>
        <v>18.535371489512972</v>
      </c>
      <c r="F40" s="41">
        <f t="shared" si="1"/>
        <v>463.38428723782431</v>
      </c>
      <c r="G40" s="41">
        <f t="shared" si="2"/>
        <v>2588.7390348481808</v>
      </c>
      <c r="H40" s="41">
        <f t="shared" si="3"/>
        <v>0.25887390348481804</v>
      </c>
    </row>
    <row r="41" spans="1:8" x14ac:dyDescent="0.2">
      <c r="A41" s="40" t="s">
        <v>160</v>
      </c>
      <c r="B41" s="40">
        <v>0.38600000000000001</v>
      </c>
      <c r="C41" s="37">
        <f t="shared" si="0"/>
        <v>0.57696409527195169</v>
      </c>
      <c r="D41">
        <v>0.193</v>
      </c>
      <c r="E41" s="34">
        <f t="shared" si="4"/>
        <v>31.733025239957342</v>
      </c>
      <c r="F41" s="41">
        <f t="shared" si="1"/>
        <v>793.32563099893355</v>
      </c>
      <c r="G41" s="41">
        <f t="shared" si="2"/>
        <v>4110.495497403801</v>
      </c>
      <c r="H41" s="41">
        <f t="shared" si="3"/>
        <v>0.4110495497403801</v>
      </c>
    </row>
    <row r="42" spans="1:8" x14ac:dyDescent="0.2">
      <c r="A42" s="43">
        <v>40</v>
      </c>
      <c r="B42" s="42">
        <v>0.33899999999999997</v>
      </c>
      <c r="C42" s="41">
        <f t="shared" si="0"/>
        <v>0.49342339139708491</v>
      </c>
      <c r="D42">
        <v>0.20499999999999999</v>
      </c>
      <c r="E42" s="34">
        <f t="shared" si="4"/>
        <v>27.138286526839671</v>
      </c>
      <c r="F42" s="41">
        <f t="shared" si="1"/>
        <v>678.45716317099175</v>
      </c>
      <c r="G42" s="41">
        <f t="shared" si="2"/>
        <v>3309.5471374194722</v>
      </c>
      <c r="H42" s="41">
        <f t="shared" si="3"/>
        <v>0.33095471374194718</v>
      </c>
    </row>
    <row r="43" spans="1:8" x14ac:dyDescent="0.2">
      <c r="A43" s="43" t="s">
        <v>200</v>
      </c>
      <c r="B43" s="42">
        <v>0.38550000000000001</v>
      </c>
      <c r="C43" s="41">
        <f t="shared" si="0"/>
        <v>0.57607536437966589</v>
      </c>
      <c r="D43">
        <v>0.19700000000000001</v>
      </c>
      <c r="E43" s="34">
        <f t="shared" si="4"/>
        <v>31.684145040881624</v>
      </c>
      <c r="F43" s="41">
        <f t="shared" si="1"/>
        <v>792.10362602204066</v>
      </c>
      <c r="G43" s="41">
        <f t="shared" si="2"/>
        <v>4020.8305889443686</v>
      </c>
      <c r="H43" s="41">
        <f t="shared" si="3"/>
        <v>0.40208305889443685</v>
      </c>
    </row>
    <row r="44" spans="1:8" x14ac:dyDescent="0.2">
      <c r="A44" s="43" t="s">
        <v>201</v>
      </c>
      <c r="B44" s="44">
        <v>0.24049999999999999</v>
      </c>
      <c r="C44" s="41">
        <f t="shared" si="0"/>
        <v>0.31834340561677921</v>
      </c>
      <c r="D44">
        <v>0.17499999999999999</v>
      </c>
      <c r="E44" s="34">
        <f t="shared" si="4"/>
        <v>17.508887308922855</v>
      </c>
      <c r="F44" s="41">
        <f t="shared" si="1"/>
        <v>437.7221827230714</v>
      </c>
      <c r="G44" s="41">
        <f t="shared" si="2"/>
        <v>2501.2696155604081</v>
      </c>
      <c r="H44" s="41">
        <f t="shared" si="3"/>
        <v>0.25012696155604081</v>
      </c>
    </row>
    <row r="45" spans="1:8" x14ac:dyDescent="0.2">
      <c r="A45" s="43" t="s">
        <v>202</v>
      </c>
      <c r="B45" s="44">
        <v>0.28049999999999997</v>
      </c>
      <c r="C45" s="41">
        <f t="shared" si="0"/>
        <v>0.38944187699964444</v>
      </c>
      <c r="D45">
        <v>0.19500000000000001</v>
      </c>
      <c r="E45" s="34">
        <f t="shared" si="4"/>
        <v>21.419303234980443</v>
      </c>
      <c r="F45" s="41">
        <f t="shared" si="1"/>
        <v>535.48258087451109</v>
      </c>
      <c r="G45" s="41">
        <f t="shared" si="2"/>
        <v>2746.0645173051848</v>
      </c>
      <c r="H45" s="41">
        <f t="shared" si="3"/>
        <v>0.27460645173051851</v>
      </c>
    </row>
    <row r="46" spans="1:8" x14ac:dyDescent="0.2">
      <c r="A46" s="43" t="s">
        <v>203</v>
      </c>
      <c r="B46" s="44">
        <v>0.27750000000000002</v>
      </c>
      <c r="C46" s="41">
        <f t="shared" si="0"/>
        <v>0.38410949164592967</v>
      </c>
      <c r="D46">
        <v>0.20799999999999999</v>
      </c>
      <c r="E46" s="34">
        <f t="shared" si="4"/>
        <v>21.126022040526131</v>
      </c>
      <c r="F46" s="41">
        <f t="shared" si="1"/>
        <v>528.15055101315329</v>
      </c>
      <c r="G46" s="41">
        <f t="shared" si="2"/>
        <v>2539.1853414093907</v>
      </c>
      <c r="H46" s="41">
        <f t="shared" si="3"/>
        <v>0.25391853414093912</v>
      </c>
    </row>
    <row r="47" spans="1:8" x14ac:dyDescent="0.2">
      <c r="A47" s="43" t="s">
        <v>204</v>
      </c>
      <c r="B47" s="44">
        <v>0.36449999999999999</v>
      </c>
      <c r="C47" s="41">
        <f t="shared" si="0"/>
        <v>0.53874866690366152</v>
      </c>
      <c r="D47">
        <v>0.19800000000000001</v>
      </c>
      <c r="E47" s="34">
        <f t="shared" si="4"/>
        <v>29.631176679701383</v>
      </c>
      <c r="F47" s="41">
        <f t="shared" si="1"/>
        <v>740.77941699253461</v>
      </c>
      <c r="G47" s="41">
        <f t="shared" si="2"/>
        <v>3741.3101868309827</v>
      </c>
      <c r="H47" s="41">
        <f t="shared" si="3"/>
        <v>0.37413101868309823</v>
      </c>
    </row>
    <row r="48" spans="1:8" x14ac:dyDescent="0.2">
      <c r="A48" s="43" t="s">
        <v>205</v>
      </c>
      <c r="B48" s="44">
        <v>0.29949999999999999</v>
      </c>
      <c r="C48" s="41">
        <f t="shared" si="0"/>
        <v>0.42321365090650548</v>
      </c>
      <c r="D48">
        <v>0.188</v>
      </c>
      <c r="E48" s="34">
        <f t="shared" si="4"/>
        <v>23.276750799857801</v>
      </c>
      <c r="F48" s="41">
        <f t="shared" si="1"/>
        <v>581.91876999644501</v>
      </c>
      <c r="G48" s="41">
        <f t="shared" si="2"/>
        <v>3095.3126063640693</v>
      </c>
      <c r="H48" s="41">
        <f t="shared" si="3"/>
        <v>0.30953126063640696</v>
      </c>
    </row>
    <row r="49" spans="1:8" x14ac:dyDescent="0.2">
      <c r="A49" s="43" t="s">
        <v>206</v>
      </c>
      <c r="B49" s="44">
        <v>0.34949999999999998</v>
      </c>
      <c r="C49" s="41">
        <f t="shared" si="0"/>
        <v>0.51208674013508704</v>
      </c>
      <c r="D49">
        <v>0.184</v>
      </c>
      <c r="E49" s="34">
        <f t="shared" si="4"/>
        <v>28.164770707429788</v>
      </c>
      <c r="F49" s="41">
        <f t="shared" si="1"/>
        <v>704.11926768574472</v>
      </c>
      <c r="G49" s="41">
        <f t="shared" si="2"/>
        <v>3826.7351504660041</v>
      </c>
      <c r="H49" s="41">
        <f t="shared" si="3"/>
        <v>0.38267351504660035</v>
      </c>
    </row>
    <row r="50" spans="1:8" x14ac:dyDescent="0.2">
      <c r="A50" s="43" t="s">
        <v>207</v>
      </c>
      <c r="B50" s="44">
        <v>0.30449999999999999</v>
      </c>
      <c r="C50" s="41">
        <f t="shared" si="0"/>
        <v>0.43210095982936364</v>
      </c>
      <c r="D50">
        <v>0.20399999999999999</v>
      </c>
      <c r="E50" s="34">
        <f t="shared" si="4"/>
        <v>23.765552790615001</v>
      </c>
      <c r="F50" s="41">
        <f t="shared" si="1"/>
        <v>594.13881976537505</v>
      </c>
      <c r="G50" s="41">
        <f t="shared" si="2"/>
        <v>2912.4451949283093</v>
      </c>
      <c r="H50" s="41">
        <f t="shared" si="3"/>
        <v>0.29124451949283092</v>
      </c>
    </row>
    <row r="51" spans="1:8" x14ac:dyDescent="0.2">
      <c r="A51" s="43" t="s">
        <v>208</v>
      </c>
      <c r="B51" s="44">
        <v>0.3765</v>
      </c>
      <c r="C51" s="41">
        <f t="shared" si="0"/>
        <v>0.56007820831852118</v>
      </c>
      <c r="D51">
        <v>0.189</v>
      </c>
      <c r="E51" s="34">
        <f t="shared" si="4"/>
        <v>30.804301457518665</v>
      </c>
      <c r="F51" s="41">
        <f t="shared" si="1"/>
        <v>770.10753643796659</v>
      </c>
      <c r="G51" s="41">
        <f t="shared" si="2"/>
        <v>4074.643049936331</v>
      </c>
      <c r="H51" s="41">
        <f t="shared" si="3"/>
        <v>0.40746430499363312</v>
      </c>
    </row>
    <row r="52" spans="1:8" x14ac:dyDescent="0.2">
      <c r="A52" s="43" t="s">
        <v>209</v>
      </c>
      <c r="B52" s="44">
        <v>0.25850000000000001</v>
      </c>
      <c r="C52" s="41">
        <f t="shared" si="0"/>
        <v>0.35033771773906863</v>
      </c>
      <c r="D52">
        <v>0.20399999999999999</v>
      </c>
      <c r="E52" s="34">
        <f t="shared" si="4"/>
        <v>19.268574475648776</v>
      </c>
      <c r="F52" s="41">
        <f t="shared" si="1"/>
        <v>481.71436189121943</v>
      </c>
      <c r="G52" s="41">
        <f t="shared" si="2"/>
        <v>2361.3449112314679</v>
      </c>
      <c r="H52" s="41">
        <f t="shared" si="3"/>
        <v>0.2361344911231468</v>
      </c>
    </row>
    <row r="53" spans="1:8" x14ac:dyDescent="0.2">
      <c r="D53">
        <v>0.187</v>
      </c>
      <c r="E53" s="34">
        <f t="shared" si="4"/>
        <v>0</v>
      </c>
      <c r="F53" s="41">
        <f t="shared" si="1"/>
        <v>0</v>
      </c>
      <c r="G53" s="41">
        <f t="shared" si="2"/>
        <v>0</v>
      </c>
      <c r="H53" s="41">
        <f t="shared" si="3"/>
        <v>0</v>
      </c>
    </row>
    <row r="54" spans="1:8" x14ac:dyDescent="0.2">
      <c r="D54">
        <v>0.19700000000000001</v>
      </c>
      <c r="E54" s="34">
        <f t="shared" si="4"/>
        <v>0</v>
      </c>
      <c r="F54" s="41">
        <f t="shared" si="1"/>
        <v>0</v>
      </c>
      <c r="G54" s="41">
        <f t="shared" si="2"/>
        <v>0</v>
      </c>
      <c r="H54" s="41">
        <f t="shared" si="3"/>
        <v>0</v>
      </c>
    </row>
    <row r="55" spans="1:8" x14ac:dyDescent="0.2">
      <c r="D55">
        <v>0.189</v>
      </c>
      <c r="E55" s="34">
        <f t="shared" si="4"/>
        <v>0</v>
      </c>
      <c r="F55" s="41">
        <f t="shared" si="1"/>
        <v>0</v>
      </c>
      <c r="G55" s="41">
        <f t="shared" si="2"/>
        <v>0</v>
      </c>
      <c r="H55" s="41">
        <f t="shared" si="3"/>
        <v>0</v>
      </c>
    </row>
    <row r="56" spans="1:8" x14ac:dyDescent="0.2">
      <c r="D56">
        <v>0.21</v>
      </c>
      <c r="E56" s="34">
        <f t="shared" si="4"/>
        <v>0</v>
      </c>
      <c r="F56" s="41">
        <f t="shared" si="1"/>
        <v>0</v>
      </c>
      <c r="G56" s="41">
        <f t="shared" si="2"/>
        <v>0</v>
      </c>
      <c r="H56" s="41">
        <f t="shared" si="3"/>
        <v>0</v>
      </c>
    </row>
    <row r="57" spans="1:8" x14ac:dyDescent="0.2">
      <c r="D57">
        <v>0.182</v>
      </c>
      <c r="E57" s="34">
        <f t="shared" si="4"/>
        <v>0</v>
      </c>
      <c r="F57" s="41">
        <f t="shared" si="1"/>
        <v>0</v>
      </c>
      <c r="G57" s="41">
        <f t="shared" si="2"/>
        <v>0</v>
      </c>
      <c r="H57" s="41">
        <f t="shared" si="3"/>
        <v>0</v>
      </c>
    </row>
    <row r="58" spans="1:8" x14ac:dyDescent="0.2">
      <c r="D58">
        <v>0.20100000000000001</v>
      </c>
      <c r="E58" s="34">
        <f t="shared" si="4"/>
        <v>0</v>
      </c>
      <c r="F58" s="41">
        <f t="shared" si="1"/>
        <v>0</v>
      </c>
      <c r="G58" s="41">
        <f t="shared" si="2"/>
        <v>0</v>
      </c>
      <c r="H58" s="41">
        <f t="shared" si="3"/>
        <v>0</v>
      </c>
    </row>
    <row r="59" spans="1:8" x14ac:dyDescent="0.2">
      <c r="D59">
        <v>0.19800000000000001</v>
      </c>
      <c r="E59" s="34">
        <f t="shared" si="4"/>
        <v>0</v>
      </c>
      <c r="F59" s="41">
        <f t="shared" si="1"/>
        <v>0</v>
      </c>
      <c r="G59" s="41">
        <f t="shared" si="2"/>
        <v>0</v>
      </c>
      <c r="H59" s="41">
        <f t="shared" si="3"/>
        <v>0</v>
      </c>
    </row>
    <row r="60" spans="1:8" x14ac:dyDescent="0.2">
      <c r="D60">
        <v>0.19900000000000001</v>
      </c>
      <c r="E60" s="34">
        <f t="shared" si="4"/>
        <v>0</v>
      </c>
      <c r="F60" s="41">
        <f t="shared" si="1"/>
        <v>0</v>
      </c>
      <c r="G60" s="41">
        <f t="shared" si="2"/>
        <v>0</v>
      </c>
      <c r="H60" s="41">
        <f t="shared" si="3"/>
        <v>0</v>
      </c>
    </row>
    <row r="61" spans="1:8" x14ac:dyDescent="0.2">
      <c r="D61">
        <v>0.19700000000000001</v>
      </c>
      <c r="E61" s="34">
        <f t="shared" si="4"/>
        <v>0</v>
      </c>
      <c r="F61" s="41">
        <f t="shared" si="1"/>
        <v>0</v>
      </c>
      <c r="G61" s="41">
        <f t="shared" si="2"/>
        <v>0</v>
      </c>
      <c r="H61" s="41">
        <f t="shared" si="3"/>
        <v>0</v>
      </c>
    </row>
    <row r="62" spans="1:8" x14ac:dyDescent="0.2">
      <c r="D62">
        <v>0.19900000000000001</v>
      </c>
      <c r="E62" s="34">
        <f t="shared" si="4"/>
        <v>0</v>
      </c>
      <c r="F62" s="41">
        <f t="shared" si="1"/>
        <v>0</v>
      </c>
      <c r="G62" s="41">
        <f t="shared" si="2"/>
        <v>0</v>
      </c>
      <c r="H62" s="41">
        <f t="shared" si="3"/>
        <v>0</v>
      </c>
    </row>
    <row r="63" spans="1:8" x14ac:dyDescent="0.2">
      <c r="A63" s="43" t="s">
        <v>194</v>
      </c>
      <c r="B63" s="44">
        <v>0.20549999999999999</v>
      </c>
      <c r="C63" s="41">
        <f>(B63-0.0614)/0.5626</f>
        <v>0.25613224315677208</v>
      </c>
      <c r="D63">
        <v>0.20200000000000001</v>
      </c>
      <c r="E63" s="34">
        <f t="shared" si="4"/>
        <v>14.087273373622464</v>
      </c>
      <c r="F63" s="41">
        <f t="shared" si="1"/>
        <v>352.18183434056158</v>
      </c>
      <c r="G63" s="41">
        <f t="shared" si="2"/>
        <v>1743.4744274285226</v>
      </c>
      <c r="H63" s="41">
        <f t="shared" si="3"/>
        <v>0.17434744274285224</v>
      </c>
    </row>
    <row r="64" spans="1:8" x14ac:dyDescent="0.2">
      <c r="A64" s="43" t="s">
        <v>195</v>
      </c>
      <c r="B64" s="44">
        <v>0.1835</v>
      </c>
      <c r="C64" s="41">
        <f>(B64-0.0614)/0.5626</f>
        <v>0.21702808389619621</v>
      </c>
      <c r="D64">
        <v>0.18099999999999999</v>
      </c>
      <c r="E64" s="34">
        <f t="shared" si="4"/>
        <v>11.936544614290792</v>
      </c>
      <c r="F64" s="41">
        <f t="shared" si="1"/>
        <v>298.4136153572698</v>
      </c>
      <c r="G64" s="41">
        <f t="shared" si="2"/>
        <v>1648.6940074987283</v>
      </c>
      <c r="H64" s="41">
        <f t="shared" si="3"/>
        <v>0.16486940074987283</v>
      </c>
    </row>
    <row r="65" spans="1:59" x14ac:dyDescent="0.2">
      <c r="A65" s="43" t="s">
        <v>196</v>
      </c>
      <c r="B65" s="44">
        <v>0.22700000000000001</v>
      </c>
      <c r="C65" s="41">
        <f>(B65-0.0614)/0.5626</f>
        <v>0.29434767152506219</v>
      </c>
      <c r="D65">
        <v>0.219</v>
      </c>
      <c r="E65" s="34">
        <f t="shared" si="4"/>
        <v>16.189121933878422</v>
      </c>
      <c r="F65" s="41">
        <f t="shared" si="1"/>
        <v>404.72804834696052</v>
      </c>
      <c r="G65" s="41">
        <f t="shared" si="2"/>
        <v>1848.0732801231075</v>
      </c>
      <c r="H65" s="41">
        <f t="shared" si="3"/>
        <v>0.18480732801231076</v>
      </c>
    </row>
    <row r="66" spans="1:59" x14ac:dyDescent="0.2">
      <c r="A66" s="43" t="s">
        <v>197</v>
      </c>
      <c r="B66" s="44">
        <v>6.7500000000000004E-2</v>
      </c>
      <c r="C66" s="41">
        <f>(B66-0.0614)/0.5626</f>
        <v>1.0842516885886956E-2</v>
      </c>
      <c r="D66" s="41"/>
      <c r="E66" s="34">
        <f t="shared" ref="E66" si="5">C66*54</f>
        <v>0.58549591183789562</v>
      </c>
    </row>
    <row r="69" spans="1:59" x14ac:dyDescent="0.2">
      <c r="A69" s="46">
        <v>42188</v>
      </c>
      <c r="X69" s="46">
        <v>42188</v>
      </c>
      <c r="Y69" s="41"/>
      <c r="Z69" s="41"/>
      <c r="AA69" s="41"/>
      <c r="AB69" s="41"/>
      <c r="AC69" s="41"/>
      <c r="AD69" s="41"/>
      <c r="AE69" s="41"/>
      <c r="AF69" s="41"/>
      <c r="AG69" s="41"/>
      <c r="AH69" s="41"/>
      <c r="AO69" s="46">
        <v>42195</v>
      </c>
    </row>
    <row r="70" spans="1:59" s="41" customFormat="1" x14ac:dyDescent="0.2">
      <c r="A70" s="46" t="s">
        <v>210</v>
      </c>
      <c r="X70" s="46" t="s">
        <v>219</v>
      </c>
      <c r="AO70" s="46" t="s">
        <v>228</v>
      </c>
    </row>
    <row r="71" spans="1:59" x14ac:dyDescent="0.2">
      <c r="A71" s="41" t="s">
        <v>63</v>
      </c>
      <c r="B71" s="41" t="s">
        <v>45</v>
      </c>
      <c r="C71" s="41" t="s">
        <v>15</v>
      </c>
      <c r="D71" s="41" t="s">
        <v>211</v>
      </c>
      <c r="E71" s="41" t="s">
        <v>218</v>
      </c>
      <c r="F71" s="41" t="s">
        <v>212</v>
      </c>
      <c r="G71" s="41" t="s">
        <v>213</v>
      </c>
      <c r="H71" s="41" t="s">
        <v>214</v>
      </c>
      <c r="I71" s="41"/>
      <c r="J71" s="41" t="s">
        <v>15</v>
      </c>
      <c r="K71" s="41" t="s">
        <v>45</v>
      </c>
      <c r="L71" s="41"/>
      <c r="X71" s="41" t="s">
        <v>63</v>
      </c>
      <c r="Y71" s="41" t="s">
        <v>45</v>
      </c>
      <c r="Z71" s="41" t="s">
        <v>15</v>
      </c>
      <c r="AA71" s="41" t="s">
        <v>211</v>
      </c>
      <c r="AB71" s="41" t="s">
        <v>218</v>
      </c>
      <c r="AC71" s="41" t="s">
        <v>212</v>
      </c>
      <c r="AD71" s="41" t="s">
        <v>213</v>
      </c>
      <c r="AE71" s="41" t="s">
        <v>214</v>
      </c>
      <c r="AF71" s="41"/>
      <c r="AG71" s="41" t="s">
        <v>15</v>
      </c>
      <c r="AH71" s="41" t="s">
        <v>45</v>
      </c>
      <c r="AO71" s="41" t="s">
        <v>63</v>
      </c>
      <c r="AP71" s="41" t="s">
        <v>45</v>
      </c>
      <c r="AQ71" s="41" t="s">
        <v>15</v>
      </c>
      <c r="AR71" s="41" t="s">
        <v>211</v>
      </c>
      <c r="AS71" s="41" t="s">
        <v>218</v>
      </c>
      <c r="AT71" s="41" t="s">
        <v>212</v>
      </c>
      <c r="AU71" s="41" t="s">
        <v>213</v>
      </c>
      <c r="AV71" s="41" t="s">
        <v>214</v>
      </c>
      <c r="AW71" s="41"/>
      <c r="AX71" s="41" t="s">
        <v>15</v>
      </c>
      <c r="AY71" s="41" t="s">
        <v>45</v>
      </c>
      <c r="BF71" t="s">
        <v>230</v>
      </c>
      <c r="BG71" t="s">
        <v>229</v>
      </c>
    </row>
    <row r="72" spans="1:59" x14ac:dyDescent="0.2">
      <c r="A72">
        <v>1</v>
      </c>
      <c r="B72">
        <v>0.34050000000000002</v>
      </c>
      <c r="C72">
        <f>(B72-0.0654)/0.4867</f>
        <v>0.56523525785905071</v>
      </c>
      <c r="D72" s="41">
        <v>0.2</v>
      </c>
      <c r="E72" s="34">
        <f>C72*(275/7)</f>
        <v>22.205670844462706</v>
      </c>
      <c r="F72" s="41">
        <f>E72*40</f>
        <v>888.22683377850819</v>
      </c>
      <c r="G72" s="41">
        <f>F72/D72</f>
        <v>4441.1341688925404</v>
      </c>
      <c r="H72" s="41">
        <f>(F72/1000000)/D72*100</f>
        <v>0.4441134168892541</v>
      </c>
      <c r="J72" s="41">
        <v>0</v>
      </c>
      <c r="K72" s="41">
        <v>6.1499999999999999E-2</v>
      </c>
      <c r="X72">
        <v>1</v>
      </c>
      <c r="Y72">
        <v>0.189</v>
      </c>
      <c r="Z72">
        <f>(Y72-0.0602)/0.5421</f>
        <v>0.23759453975281311</v>
      </c>
      <c r="AA72">
        <v>0.187</v>
      </c>
      <c r="AB72" s="34">
        <f>Z72*(275/7)</f>
        <v>9.3340712045748013</v>
      </c>
      <c r="AC72" s="41">
        <f>AB72*40</f>
        <v>373.36284818299202</v>
      </c>
      <c r="AD72" s="41">
        <f>AC72/AA72</f>
        <v>1996.5927710320429</v>
      </c>
      <c r="AE72" s="41">
        <f>(AC72/1000000)/AA72*100</f>
        <v>0.1996592771032043</v>
      </c>
      <c r="AG72">
        <v>0</v>
      </c>
      <c r="AH72">
        <v>6.1499999999999999E-2</v>
      </c>
      <c r="AO72" s="41">
        <v>1</v>
      </c>
      <c r="AP72">
        <v>0.19700000000000001</v>
      </c>
      <c r="AQ72" s="41">
        <f>(AP72-0.0643)/0.4861</f>
        <v>0.27298909689364331</v>
      </c>
      <c r="AR72" s="41">
        <v>0.187</v>
      </c>
      <c r="AS72" s="34">
        <f>AQ72*(275/7)</f>
        <v>10.724571663678844</v>
      </c>
      <c r="AT72" s="41">
        <f>AS72*40</f>
        <v>428.98286654715378</v>
      </c>
      <c r="AU72" s="41">
        <f>AT72/AR72</f>
        <v>2294.0260243163302</v>
      </c>
      <c r="AV72" s="41">
        <f>(AT72/1000000)/AR72*100</f>
        <v>0.22940260243163305</v>
      </c>
      <c r="AX72" s="41">
        <v>0</v>
      </c>
      <c r="AY72">
        <v>0.06</v>
      </c>
      <c r="BF72">
        <v>0.1996592771032043</v>
      </c>
      <c r="BG72">
        <v>0.22940260243163305</v>
      </c>
    </row>
    <row r="73" spans="1:59" x14ac:dyDescent="0.2">
      <c r="A73">
        <v>2</v>
      </c>
      <c r="B73">
        <v>0.24099999999999999</v>
      </c>
      <c r="C73" s="41">
        <f>(B73-0.0654)/0.4867</f>
        <v>0.36079720567084439</v>
      </c>
      <c r="D73" s="41">
        <v>0.185</v>
      </c>
      <c r="E73" s="34">
        <f t="shared" ref="E73:E134" si="6">C73*(275/7)</f>
        <v>14.174175937068886</v>
      </c>
      <c r="F73" s="41">
        <f t="shared" ref="F73:F134" si="7">E73*40</f>
        <v>566.96703748275547</v>
      </c>
      <c r="G73" s="41">
        <f t="shared" ref="G73:G134" si="8">F73/D73</f>
        <v>3064.6866890959755</v>
      </c>
      <c r="H73" s="41">
        <f t="shared" ref="H73:H134" si="9">(F73/1000000)/D73*100</f>
        <v>0.30646866890959751</v>
      </c>
      <c r="J73" s="41">
        <v>0.01</v>
      </c>
      <c r="K73" s="41">
        <v>6.5500000000000003E-2</v>
      </c>
      <c r="X73">
        <v>2</v>
      </c>
      <c r="Y73">
        <v>0.19</v>
      </c>
      <c r="Z73" s="41">
        <f t="shared" ref="Z73:Z131" si="10">(Y73-0.0602)/0.5421</f>
        <v>0.23943921785648403</v>
      </c>
      <c r="AA73">
        <v>0.189</v>
      </c>
      <c r="AB73" s="34">
        <f t="shared" ref="AB73:AB131" si="11">Z73*(275/7)</f>
        <v>9.4065407015047295</v>
      </c>
      <c r="AC73" s="41">
        <f t="shared" ref="AC73:AC131" si="12">AB73*40</f>
        <v>376.2616280601892</v>
      </c>
      <c r="AD73" s="41">
        <f t="shared" ref="AD73:AD131" si="13">AC73/AA73</f>
        <v>1990.8022648687258</v>
      </c>
      <c r="AE73" s="41">
        <f t="shared" ref="AE73:AE131" si="14">(AC73/1000000)/AA73*100</f>
        <v>0.19908022648687262</v>
      </c>
      <c r="AG73">
        <v>0.01</v>
      </c>
      <c r="AH73">
        <v>6.5500000000000003E-2</v>
      </c>
      <c r="AO73" s="41">
        <v>2</v>
      </c>
      <c r="AP73">
        <v>0.19600000000000001</v>
      </c>
      <c r="AQ73" s="41">
        <f t="shared" ref="AQ73:AQ135" si="15">(AP73-0.0643)/0.4861</f>
        <v>0.27093190701501751</v>
      </c>
      <c r="AR73" s="41">
        <v>0.189</v>
      </c>
      <c r="AS73" s="34">
        <f t="shared" ref="AS73:AS131" si="16">AQ73*(275/7)</f>
        <v>10.643753489875687</v>
      </c>
      <c r="AT73" s="41">
        <f t="shared" ref="AT73:AT110" si="17">AS73*40</f>
        <v>425.75013959502746</v>
      </c>
      <c r="AU73" s="41">
        <f t="shared" ref="AU73:AU131" si="18">AT73/AR73</f>
        <v>2252.6462412435317</v>
      </c>
      <c r="AV73" s="41">
        <f t="shared" ref="AV73:AV131" si="19">(AT73/1000000)/AR73*100</f>
        <v>0.22526462412435314</v>
      </c>
      <c r="AX73" s="41">
        <v>0.01</v>
      </c>
      <c r="AY73">
        <v>6.2E-2</v>
      </c>
      <c r="BF73">
        <v>0.19908022648687262</v>
      </c>
      <c r="BG73">
        <v>0.22526462412435314</v>
      </c>
    </row>
    <row r="74" spans="1:59" x14ac:dyDescent="0.2">
      <c r="A74">
        <v>3</v>
      </c>
      <c r="B74">
        <v>0.3115</v>
      </c>
      <c r="C74" s="41">
        <f t="shared" ref="C74:C135" si="20">(B74-0.0654)/0.4867</f>
        <v>0.50565029792479965</v>
      </c>
      <c r="D74" s="41">
        <v>0.19800000000000001</v>
      </c>
      <c r="E74" s="34">
        <f t="shared" si="6"/>
        <v>19.864833132759987</v>
      </c>
      <c r="F74" s="41">
        <f t="shared" si="7"/>
        <v>794.59332531039945</v>
      </c>
      <c r="G74" s="41">
        <f t="shared" si="8"/>
        <v>4013.097602577775</v>
      </c>
      <c r="H74" s="41">
        <f t="shared" si="9"/>
        <v>0.40130976025777743</v>
      </c>
      <c r="J74" s="41">
        <v>0.02</v>
      </c>
      <c r="K74" s="41">
        <v>6.9000000000000006E-2</v>
      </c>
      <c r="X74">
        <v>3</v>
      </c>
      <c r="Y74">
        <v>0.23350000000000001</v>
      </c>
      <c r="Z74" s="41">
        <f t="shared" si="10"/>
        <v>0.3196827153661686</v>
      </c>
      <c r="AA74">
        <v>0.18</v>
      </c>
      <c r="AB74" s="34">
        <f t="shared" si="11"/>
        <v>12.558963817956624</v>
      </c>
      <c r="AC74" s="41">
        <f t="shared" si="12"/>
        <v>502.35855271826495</v>
      </c>
      <c r="AD74" s="41">
        <f t="shared" si="13"/>
        <v>2790.8808484348056</v>
      </c>
      <c r="AE74" s="41">
        <f t="shared" si="14"/>
        <v>0.27908808484348052</v>
      </c>
      <c r="AG74">
        <v>0.02</v>
      </c>
      <c r="AH74">
        <v>6.9000000000000006E-2</v>
      </c>
      <c r="AO74" s="41">
        <v>3</v>
      </c>
      <c r="AP74">
        <v>0.23499999999999999</v>
      </c>
      <c r="AQ74" s="41">
        <f t="shared" si="15"/>
        <v>0.35116231228142358</v>
      </c>
      <c r="AR74" s="41">
        <v>0.18</v>
      </c>
      <c r="AS74" s="34">
        <f t="shared" si="16"/>
        <v>13.795662268198782</v>
      </c>
      <c r="AT74" s="41">
        <f t="shared" si="17"/>
        <v>551.8264907279513</v>
      </c>
      <c r="AU74" s="41">
        <f t="shared" si="18"/>
        <v>3065.702726266396</v>
      </c>
      <c r="AV74" s="41">
        <f t="shared" si="19"/>
        <v>0.30657027262663961</v>
      </c>
      <c r="AX74" s="41">
        <v>0.02</v>
      </c>
      <c r="AY74">
        <v>6.9000000000000006E-2</v>
      </c>
      <c r="BF74">
        <v>0.27908808484348052</v>
      </c>
      <c r="BG74">
        <v>0.30657027262663961</v>
      </c>
    </row>
    <row r="75" spans="1:59" x14ac:dyDescent="0.2">
      <c r="A75">
        <v>4</v>
      </c>
      <c r="B75">
        <v>0.254</v>
      </c>
      <c r="C75" s="41">
        <f t="shared" si="20"/>
        <v>0.3875077049517156</v>
      </c>
      <c r="D75" s="41">
        <v>0.19800000000000001</v>
      </c>
      <c r="E75" s="34">
        <f t="shared" si="6"/>
        <v>15.22351698024597</v>
      </c>
      <c r="F75" s="41">
        <f t="shared" si="7"/>
        <v>608.94067920983878</v>
      </c>
      <c r="G75" s="41">
        <f t="shared" si="8"/>
        <v>3075.4579758072664</v>
      </c>
      <c r="H75" s="41">
        <f t="shared" si="9"/>
        <v>0.30754579758072664</v>
      </c>
      <c r="J75" s="41">
        <v>0.05</v>
      </c>
      <c r="K75" s="41">
        <v>8.6999999999999994E-2</v>
      </c>
      <c r="X75">
        <v>4</v>
      </c>
      <c r="Y75">
        <v>0.186</v>
      </c>
      <c r="Z75" s="41">
        <f t="shared" si="10"/>
        <v>0.23206050544180037</v>
      </c>
      <c r="AA75">
        <v>0.188</v>
      </c>
      <c r="AB75" s="34">
        <f t="shared" si="11"/>
        <v>9.1166627137850149</v>
      </c>
      <c r="AC75" s="41">
        <f t="shared" si="12"/>
        <v>364.66650855140063</v>
      </c>
      <c r="AD75" s="41">
        <f t="shared" si="13"/>
        <v>1939.7154710180885</v>
      </c>
      <c r="AE75" s="41">
        <f t="shared" si="14"/>
        <v>0.19397154710180886</v>
      </c>
      <c r="AG75">
        <v>0.05</v>
      </c>
      <c r="AH75">
        <v>8.6999999999999994E-2</v>
      </c>
      <c r="AO75" s="41">
        <v>4</v>
      </c>
      <c r="AP75">
        <v>0.19500000000000001</v>
      </c>
      <c r="AQ75" s="41">
        <f t="shared" si="15"/>
        <v>0.26887471713639172</v>
      </c>
      <c r="AR75" s="41">
        <v>0.188</v>
      </c>
      <c r="AS75" s="34">
        <f t="shared" si="16"/>
        <v>10.562935316072531</v>
      </c>
      <c r="AT75" s="41">
        <f t="shared" si="17"/>
        <v>422.51741264290126</v>
      </c>
      <c r="AU75" s="41">
        <f t="shared" si="18"/>
        <v>2247.433045972879</v>
      </c>
      <c r="AV75" s="41">
        <f t="shared" si="19"/>
        <v>0.22474330459728792</v>
      </c>
      <c r="AX75" s="41">
        <v>0.05</v>
      </c>
      <c r="AY75">
        <v>8.6999999999999994E-2</v>
      </c>
      <c r="BF75">
        <v>0.19397154710180886</v>
      </c>
      <c r="BG75">
        <v>0.22474330459728792</v>
      </c>
    </row>
    <row r="76" spans="1:59" x14ac:dyDescent="0.2">
      <c r="A76">
        <v>5</v>
      </c>
      <c r="B76">
        <v>0.318</v>
      </c>
      <c r="C76" s="41">
        <f t="shared" si="20"/>
        <v>0.5190055475652352</v>
      </c>
      <c r="D76" s="41">
        <v>0.185</v>
      </c>
      <c r="E76" s="34">
        <f t="shared" si="6"/>
        <v>20.389503654348527</v>
      </c>
      <c r="F76" s="41">
        <f t="shared" si="7"/>
        <v>815.5801461739411</v>
      </c>
      <c r="G76" s="41">
        <f t="shared" si="8"/>
        <v>4408.541330669952</v>
      </c>
      <c r="H76" s="41">
        <f t="shared" si="9"/>
        <v>0.44085413306699517</v>
      </c>
      <c r="J76" s="41">
        <v>0.1</v>
      </c>
      <c r="K76" s="41">
        <v>0.114</v>
      </c>
      <c r="X76">
        <v>5</v>
      </c>
      <c r="Y76">
        <v>0.20449999999999999</v>
      </c>
      <c r="Z76" s="41">
        <f t="shared" si="10"/>
        <v>0.26618705035971219</v>
      </c>
      <c r="AA76">
        <v>0.19400000000000001</v>
      </c>
      <c r="AB76" s="34">
        <f t="shared" si="11"/>
        <v>10.457348406988693</v>
      </c>
      <c r="AC76" s="41">
        <f t="shared" si="12"/>
        <v>418.29393627954772</v>
      </c>
      <c r="AD76" s="41">
        <f t="shared" si="13"/>
        <v>2156.1543107193179</v>
      </c>
      <c r="AE76" s="41">
        <f t="shared" si="14"/>
        <v>0.21561543107193182</v>
      </c>
      <c r="AG76">
        <v>0.1</v>
      </c>
      <c r="AH76">
        <v>0.114</v>
      </c>
      <c r="AO76" s="41">
        <v>5</v>
      </c>
      <c r="AP76">
        <v>0.21199999999999999</v>
      </c>
      <c r="AQ76" s="41">
        <f t="shared" si="15"/>
        <v>0.30384694507303023</v>
      </c>
      <c r="AR76" s="41">
        <v>0.19400000000000001</v>
      </c>
      <c r="AS76" s="34">
        <f t="shared" si="16"/>
        <v>11.936844270726187</v>
      </c>
      <c r="AT76" s="41">
        <f t="shared" si="17"/>
        <v>477.47377082904745</v>
      </c>
      <c r="AU76" s="41">
        <f t="shared" si="18"/>
        <v>2461.2050042734404</v>
      </c>
      <c r="AV76" s="41">
        <f t="shared" si="19"/>
        <v>0.24612050042734407</v>
      </c>
      <c r="AX76" s="41">
        <v>0.1</v>
      </c>
      <c r="AY76">
        <v>0.111</v>
      </c>
      <c r="BF76">
        <v>0.21561543107193182</v>
      </c>
      <c r="BG76">
        <v>0.24612050042734407</v>
      </c>
    </row>
    <row r="77" spans="1:59" x14ac:dyDescent="0.2">
      <c r="A77">
        <v>6</v>
      </c>
      <c r="B77">
        <v>0.27600000000000002</v>
      </c>
      <c r="C77" s="41">
        <f t="shared" si="20"/>
        <v>0.43271008835011299</v>
      </c>
      <c r="D77" s="41">
        <v>0.2</v>
      </c>
      <c r="E77" s="34">
        <f t="shared" si="6"/>
        <v>16.999324899468725</v>
      </c>
      <c r="F77" s="41">
        <f t="shared" si="7"/>
        <v>679.97299597874894</v>
      </c>
      <c r="G77" s="41">
        <f t="shared" si="8"/>
        <v>3399.8649798937445</v>
      </c>
      <c r="H77" s="41">
        <f t="shared" si="9"/>
        <v>0.33998649798937447</v>
      </c>
      <c r="J77" s="41">
        <v>0.2</v>
      </c>
      <c r="K77" s="41">
        <v>0.17100000000000001</v>
      </c>
      <c r="X77">
        <v>6</v>
      </c>
      <c r="Y77">
        <v>0.156</v>
      </c>
      <c r="Z77" s="41">
        <f t="shared" si="10"/>
        <v>0.17672016233167312</v>
      </c>
      <c r="AA77">
        <v>0.191</v>
      </c>
      <c r="AB77" s="34">
        <f t="shared" si="11"/>
        <v>6.9425778058871579</v>
      </c>
      <c r="AC77" s="41">
        <f t="shared" si="12"/>
        <v>277.70311223548629</v>
      </c>
      <c r="AD77" s="41">
        <f t="shared" si="13"/>
        <v>1453.9429959973104</v>
      </c>
      <c r="AE77" s="41">
        <f t="shared" si="14"/>
        <v>0.14539429959973105</v>
      </c>
      <c r="AG77">
        <v>0.2</v>
      </c>
      <c r="AH77">
        <v>0.17100000000000001</v>
      </c>
      <c r="AO77" s="41">
        <v>6</v>
      </c>
      <c r="AP77">
        <v>0.161</v>
      </c>
      <c r="AQ77" s="41">
        <f t="shared" si="15"/>
        <v>0.19893026126311461</v>
      </c>
      <c r="AR77" s="41">
        <v>0.191</v>
      </c>
      <c r="AS77" s="34">
        <f t="shared" si="16"/>
        <v>7.8151174067652169</v>
      </c>
      <c r="AT77" s="41">
        <f t="shared" si="17"/>
        <v>312.60469627060866</v>
      </c>
      <c r="AU77" s="41">
        <f t="shared" si="18"/>
        <v>1636.6738024639196</v>
      </c>
      <c r="AV77" s="41">
        <f t="shared" si="19"/>
        <v>0.16366738024639196</v>
      </c>
      <c r="AX77" s="41">
        <v>0.2</v>
      </c>
      <c r="AY77">
        <v>0.16900000000000001</v>
      </c>
      <c r="BF77">
        <v>0.14539429959973105</v>
      </c>
      <c r="BG77">
        <v>0.16366738024639196</v>
      </c>
    </row>
    <row r="78" spans="1:59" x14ac:dyDescent="0.2">
      <c r="A78">
        <v>7</v>
      </c>
      <c r="B78">
        <v>0.3</v>
      </c>
      <c r="C78" s="41">
        <f t="shared" si="20"/>
        <v>0.48202177933018281</v>
      </c>
      <c r="D78" s="41">
        <v>0.20399999999999999</v>
      </c>
      <c r="E78" s="34">
        <f t="shared" si="6"/>
        <v>18.93656990225718</v>
      </c>
      <c r="F78" s="41">
        <f t="shared" si="7"/>
        <v>757.46279609028716</v>
      </c>
      <c r="G78" s="41">
        <f t="shared" si="8"/>
        <v>3713.0529220112116</v>
      </c>
      <c r="H78" s="41">
        <f t="shared" si="9"/>
        <v>0.37130529220112118</v>
      </c>
      <c r="J78" s="41">
        <v>0.5</v>
      </c>
      <c r="K78" s="41">
        <v>0.33050000000000002</v>
      </c>
      <c r="X78">
        <v>7</v>
      </c>
      <c r="Y78">
        <v>0.20749999999999999</v>
      </c>
      <c r="Z78" s="41">
        <f t="shared" si="10"/>
        <v>0.27172108467072492</v>
      </c>
      <c r="AA78">
        <v>0.19600000000000001</v>
      </c>
      <c r="AB78" s="34">
        <f t="shared" si="11"/>
        <v>10.674756897778479</v>
      </c>
      <c r="AC78" s="41">
        <f t="shared" si="12"/>
        <v>426.99027591113918</v>
      </c>
      <c r="AD78" s="41">
        <f t="shared" si="13"/>
        <v>2178.5218158731591</v>
      </c>
      <c r="AE78" s="41">
        <f t="shared" si="14"/>
        <v>0.2178521815873159</v>
      </c>
      <c r="AG78">
        <v>0.5</v>
      </c>
      <c r="AH78">
        <v>0.33050000000000002</v>
      </c>
      <c r="AO78" s="41">
        <v>7</v>
      </c>
      <c r="AP78">
        <v>0.217</v>
      </c>
      <c r="AQ78" s="41">
        <f t="shared" si="15"/>
        <v>0.31413289446615927</v>
      </c>
      <c r="AR78" s="41">
        <v>0.19600000000000001</v>
      </c>
      <c r="AS78" s="34">
        <f t="shared" si="16"/>
        <v>12.340935139741971</v>
      </c>
      <c r="AT78" s="41">
        <f t="shared" si="17"/>
        <v>493.63740558967885</v>
      </c>
      <c r="AU78" s="41">
        <f t="shared" si="18"/>
        <v>2518.5581917840755</v>
      </c>
      <c r="AV78" s="41">
        <f t="shared" si="19"/>
        <v>0.25185581917840755</v>
      </c>
      <c r="AX78" s="41">
        <v>0.5</v>
      </c>
      <c r="AY78">
        <v>0.33400000000000002</v>
      </c>
      <c r="BF78">
        <v>0.2178521815873159</v>
      </c>
      <c r="BG78">
        <v>0.25185581917840755</v>
      </c>
    </row>
    <row r="79" spans="1:59" x14ac:dyDescent="0.2">
      <c r="A79">
        <v>8</v>
      </c>
      <c r="B79">
        <v>0.25950000000000001</v>
      </c>
      <c r="C79" s="41">
        <f t="shared" si="20"/>
        <v>0.39880830080131496</v>
      </c>
      <c r="D79" s="41">
        <v>0.19600000000000001</v>
      </c>
      <c r="E79" s="34">
        <f t="shared" si="6"/>
        <v>15.667468960051659</v>
      </c>
      <c r="F79" s="41">
        <f t="shared" si="7"/>
        <v>626.69875840206635</v>
      </c>
      <c r="G79" s="41">
        <f t="shared" si="8"/>
        <v>3197.4426449085017</v>
      </c>
      <c r="H79" s="41">
        <f t="shared" si="9"/>
        <v>0.31974426449085014</v>
      </c>
      <c r="J79" s="41">
        <v>1</v>
      </c>
      <c r="K79" s="41">
        <v>0.54</v>
      </c>
      <c r="X79">
        <v>8</v>
      </c>
      <c r="Y79">
        <v>0.17299999999999999</v>
      </c>
      <c r="Z79" s="41">
        <f t="shared" si="10"/>
        <v>0.20807969009407853</v>
      </c>
      <c r="AA79">
        <v>0.17499999999999999</v>
      </c>
      <c r="AB79" s="34">
        <f t="shared" si="11"/>
        <v>8.1745592536959428</v>
      </c>
      <c r="AC79" s="41">
        <f t="shared" si="12"/>
        <v>326.98237014783774</v>
      </c>
      <c r="AD79" s="41">
        <f t="shared" si="13"/>
        <v>1868.4706865590729</v>
      </c>
      <c r="AE79" s="41">
        <f t="shared" si="14"/>
        <v>0.18684706865590731</v>
      </c>
      <c r="AG79">
        <v>1</v>
      </c>
      <c r="AH79">
        <v>0.54</v>
      </c>
      <c r="AO79" s="41">
        <v>8</v>
      </c>
      <c r="AP79">
        <v>0.17799999999999999</v>
      </c>
      <c r="AQ79" s="41">
        <f t="shared" si="15"/>
        <v>0.23390248919975315</v>
      </c>
      <c r="AR79" s="41">
        <v>0.17499999999999999</v>
      </c>
      <c r="AS79" s="34">
        <f t="shared" si="16"/>
        <v>9.1890263614188736</v>
      </c>
      <c r="AT79" s="41">
        <f t="shared" si="17"/>
        <v>367.56105445675496</v>
      </c>
      <c r="AU79" s="41">
        <f t="shared" si="18"/>
        <v>2100.3488826100283</v>
      </c>
      <c r="AV79" s="41">
        <f t="shared" si="19"/>
        <v>0.21003488826100281</v>
      </c>
      <c r="AX79" s="41">
        <v>1</v>
      </c>
      <c r="AY79">
        <v>0.53600000000000003</v>
      </c>
      <c r="BF79">
        <v>0.18684706865590731</v>
      </c>
      <c r="BG79">
        <v>0.21003488826100281</v>
      </c>
    </row>
    <row r="80" spans="1:59" x14ac:dyDescent="0.2">
      <c r="A80">
        <v>9</v>
      </c>
      <c r="B80">
        <v>0.33050000000000002</v>
      </c>
      <c r="C80" s="41">
        <f t="shared" si="20"/>
        <v>0.54468871995068824</v>
      </c>
      <c r="D80" s="41">
        <v>0.19800000000000001</v>
      </c>
      <c r="E80" s="34">
        <f t="shared" si="6"/>
        <v>21.398485426634181</v>
      </c>
      <c r="F80" s="41">
        <f t="shared" si="7"/>
        <v>855.93941706536725</v>
      </c>
      <c r="G80" s="41">
        <f t="shared" si="8"/>
        <v>4322.9263488149863</v>
      </c>
      <c r="H80" s="41">
        <f t="shared" si="9"/>
        <v>0.43229263488149861</v>
      </c>
      <c r="J80" s="18">
        <v>2</v>
      </c>
      <c r="K80" s="18">
        <v>0.73899999999999999</v>
      </c>
      <c r="X80">
        <v>9</v>
      </c>
      <c r="Y80">
        <v>0.2135</v>
      </c>
      <c r="Z80" s="41">
        <f t="shared" si="10"/>
        <v>0.28278915329275039</v>
      </c>
      <c r="AA80">
        <v>0.2</v>
      </c>
      <c r="AB80" s="34">
        <f t="shared" si="11"/>
        <v>11.109573879358051</v>
      </c>
      <c r="AC80" s="41">
        <f t="shared" si="12"/>
        <v>444.38295517432203</v>
      </c>
      <c r="AD80" s="41">
        <f t="shared" si="13"/>
        <v>2221.9147758716099</v>
      </c>
      <c r="AE80" s="41">
        <f t="shared" si="14"/>
        <v>0.22219147758716098</v>
      </c>
      <c r="AG80" s="18">
        <v>2</v>
      </c>
      <c r="AH80" s="18">
        <v>0.73899999999999999</v>
      </c>
      <c r="AO80" s="41">
        <v>9</v>
      </c>
      <c r="AP80">
        <v>0.218</v>
      </c>
      <c r="AQ80" s="41">
        <f t="shared" si="15"/>
        <v>0.31619008434478507</v>
      </c>
      <c r="AR80" s="41">
        <v>0.2</v>
      </c>
      <c r="AS80" s="34">
        <f t="shared" si="16"/>
        <v>12.421753313545128</v>
      </c>
      <c r="AT80" s="41">
        <f t="shared" si="17"/>
        <v>496.87013254180511</v>
      </c>
      <c r="AU80" s="41">
        <f t="shared" si="18"/>
        <v>2484.3506627090255</v>
      </c>
      <c r="AV80" s="41">
        <f t="shared" si="19"/>
        <v>0.2484350662709025</v>
      </c>
      <c r="AX80" s="18"/>
      <c r="BF80">
        <v>0.22219147758716098</v>
      </c>
      <c r="BG80">
        <v>0.2484350662709025</v>
      </c>
    </row>
    <row r="81" spans="1:59" x14ac:dyDescent="0.2">
      <c r="A81">
        <v>10</v>
      </c>
      <c r="B81">
        <v>0.21049999999999999</v>
      </c>
      <c r="C81" s="41">
        <f t="shared" si="20"/>
        <v>0.29813026505033902</v>
      </c>
      <c r="D81" s="41">
        <v>0.18</v>
      </c>
      <c r="E81" s="34">
        <f t="shared" si="6"/>
        <v>11.71226041269189</v>
      </c>
      <c r="F81" s="41">
        <f t="shared" si="7"/>
        <v>468.4904165076756</v>
      </c>
      <c r="G81" s="41">
        <f t="shared" si="8"/>
        <v>2602.7245361537534</v>
      </c>
      <c r="H81" s="41">
        <f t="shared" si="9"/>
        <v>0.26027245361537532</v>
      </c>
      <c r="X81">
        <v>10</v>
      </c>
      <c r="Y81">
        <v>0.14549999999999999</v>
      </c>
      <c r="Z81" s="41">
        <f t="shared" si="10"/>
        <v>0.15735104224312854</v>
      </c>
      <c r="AA81">
        <v>0.185</v>
      </c>
      <c r="AB81" s="34">
        <f t="shared" si="11"/>
        <v>6.1816480881229072</v>
      </c>
      <c r="AC81" s="41">
        <f t="shared" si="12"/>
        <v>247.26592352491627</v>
      </c>
      <c r="AD81" s="41">
        <f t="shared" si="13"/>
        <v>1336.5725595941421</v>
      </c>
      <c r="AE81" s="41">
        <f t="shared" si="14"/>
        <v>0.13365725595941419</v>
      </c>
      <c r="AO81" s="41">
        <v>10</v>
      </c>
      <c r="AP81">
        <v>0.14899999999999999</v>
      </c>
      <c r="AQ81" s="41">
        <f t="shared" si="15"/>
        <v>0.17424398271960503</v>
      </c>
      <c r="AR81" s="41">
        <v>0.185</v>
      </c>
      <c r="AS81" s="34">
        <f t="shared" si="16"/>
        <v>6.8452993211273405</v>
      </c>
      <c r="AT81" s="41">
        <f t="shared" si="17"/>
        <v>273.81197284509363</v>
      </c>
      <c r="AU81" s="41">
        <f t="shared" si="18"/>
        <v>1480.0647180815872</v>
      </c>
      <c r="AV81" s="41">
        <f t="shared" si="19"/>
        <v>0.14800647180815873</v>
      </c>
      <c r="BF81">
        <v>0.13365725595941419</v>
      </c>
      <c r="BG81">
        <v>0.14800647180815873</v>
      </c>
    </row>
    <row r="82" spans="1:59" x14ac:dyDescent="0.2">
      <c r="A82">
        <v>11</v>
      </c>
      <c r="B82">
        <v>0.35599999999999998</v>
      </c>
      <c r="C82" s="41">
        <f t="shared" si="20"/>
        <v>0.59708239161701249</v>
      </c>
      <c r="D82" s="41">
        <v>0.20100000000000001</v>
      </c>
      <c r="E82" s="34">
        <f t="shared" si="6"/>
        <v>23.456808242096919</v>
      </c>
      <c r="F82" s="41">
        <f t="shared" si="7"/>
        <v>938.27232968387671</v>
      </c>
      <c r="G82" s="41">
        <f t="shared" si="8"/>
        <v>4668.0215407158039</v>
      </c>
      <c r="H82" s="41">
        <f t="shared" si="9"/>
        <v>0.46680215407158043</v>
      </c>
      <c r="J82" s="43"/>
      <c r="X82">
        <v>11</v>
      </c>
      <c r="Y82">
        <v>0.20100000000000001</v>
      </c>
      <c r="Z82" s="41">
        <f t="shared" si="10"/>
        <v>0.25973067699686403</v>
      </c>
      <c r="AA82">
        <v>0.17399999999999999</v>
      </c>
      <c r="AB82" s="34">
        <f t="shared" si="11"/>
        <v>10.203705167733943</v>
      </c>
      <c r="AC82" s="41">
        <f t="shared" si="12"/>
        <v>408.14820670935774</v>
      </c>
      <c r="AD82" s="41">
        <f t="shared" si="13"/>
        <v>2345.6793489043548</v>
      </c>
      <c r="AE82" s="41">
        <f t="shared" si="14"/>
        <v>0.23456793489043548</v>
      </c>
      <c r="AO82" s="41">
        <v>11</v>
      </c>
      <c r="AP82">
        <v>0.21099999999999999</v>
      </c>
      <c r="AQ82" s="41">
        <f t="shared" si="15"/>
        <v>0.30178975519440443</v>
      </c>
      <c r="AR82" s="41">
        <v>0.17399999999999999</v>
      </c>
      <c r="AS82" s="34">
        <f t="shared" si="16"/>
        <v>11.856026096923031</v>
      </c>
      <c r="AT82" s="41">
        <f t="shared" si="17"/>
        <v>474.24104387692125</v>
      </c>
      <c r="AU82" s="41">
        <f t="shared" si="18"/>
        <v>2725.5232406719615</v>
      </c>
      <c r="AV82" s="41">
        <f t="shared" si="19"/>
        <v>0.27255232406719615</v>
      </c>
      <c r="BF82">
        <v>0.23456793489043548</v>
      </c>
      <c r="BG82">
        <v>0.27255232406719615</v>
      </c>
    </row>
    <row r="83" spans="1:59" x14ac:dyDescent="0.2">
      <c r="A83">
        <v>12</v>
      </c>
      <c r="B83">
        <v>0.28100000000000003</v>
      </c>
      <c r="C83" s="41">
        <f t="shared" si="20"/>
        <v>0.44298335730429422</v>
      </c>
      <c r="D83" s="41">
        <v>0.19400000000000001</v>
      </c>
      <c r="E83" s="34">
        <f t="shared" si="6"/>
        <v>17.402917608382985</v>
      </c>
      <c r="F83" s="41">
        <f t="shared" si="7"/>
        <v>696.11670433531935</v>
      </c>
      <c r="G83" s="41">
        <f t="shared" si="8"/>
        <v>3588.2304347181407</v>
      </c>
      <c r="H83" s="41">
        <f t="shared" si="9"/>
        <v>0.3588230434718141</v>
      </c>
      <c r="J83" s="43"/>
      <c r="X83">
        <v>12</v>
      </c>
      <c r="Y83">
        <v>0.16400000000000001</v>
      </c>
      <c r="Z83" s="41">
        <f t="shared" si="10"/>
        <v>0.19147758716104041</v>
      </c>
      <c r="AA83">
        <v>0.182</v>
      </c>
      <c r="AB83" s="34">
        <f t="shared" si="11"/>
        <v>7.5223337813265871</v>
      </c>
      <c r="AC83" s="41">
        <f t="shared" si="12"/>
        <v>300.89335125306349</v>
      </c>
      <c r="AD83" s="41">
        <f t="shared" si="13"/>
        <v>1653.2601717201292</v>
      </c>
      <c r="AE83" s="41">
        <f t="shared" si="14"/>
        <v>0.1653260171720129</v>
      </c>
      <c r="AO83" s="41">
        <v>12</v>
      </c>
      <c r="AP83">
        <v>0.16800000000000001</v>
      </c>
      <c r="AQ83" s="41">
        <f t="shared" si="15"/>
        <v>0.2133305904134952</v>
      </c>
      <c r="AR83" s="41">
        <v>0.182</v>
      </c>
      <c r="AS83" s="34">
        <f t="shared" si="16"/>
        <v>8.3808446233873113</v>
      </c>
      <c r="AT83" s="41">
        <f t="shared" si="17"/>
        <v>335.23378493549245</v>
      </c>
      <c r="AU83" s="41">
        <f t="shared" si="18"/>
        <v>1841.9438732719366</v>
      </c>
      <c r="AV83" s="41">
        <f t="shared" si="19"/>
        <v>0.18419438732719368</v>
      </c>
      <c r="BF83">
        <v>0.1653260171720129</v>
      </c>
      <c r="BG83">
        <v>0.18419438732719368</v>
      </c>
    </row>
    <row r="84" spans="1:59" x14ac:dyDescent="0.2">
      <c r="A84">
        <v>13</v>
      </c>
      <c r="B84">
        <v>0.30349999999999999</v>
      </c>
      <c r="C84" s="41">
        <f t="shared" si="20"/>
        <v>0.48921306759810967</v>
      </c>
      <c r="D84" s="41">
        <v>0.183</v>
      </c>
      <c r="E84" s="34">
        <f t="shared" si="6"/>
        <v>19.219084798497164</v>
      </c>
      <c r="F84" s="41">
        <f t="shared" si="7"/>
        <v>768.76339193988656</v>
      </c>
      <c r="G84" s="41">
        <f t="shared" si="8"/>
        <v>4200.8928521305279</v>
      </c>
      <c r="H84" s="41">
        <f t="shared" si="9"/>
        <v>0.42008928521305278</v>
      </c>
      <c r="J84" s="43"/>
      <c r="X84">
        <v>13</v>
      </c>
      <c r="Y84">
        <v>0.22500000000000001</v>
      </c>
      <c r="Z84" s="41">
        <f t="shared" si="10"/>
        <v>0.30400295148496587</v>
      </c>
      <c r="AA84">
        <v>0.184</v>
      </c>
      <c r="AB84" s="34">
        <f t="shared" si="11"/>
        <v>11.942973094052229</v>
      </c>
      <c r="AC84" s="41">
        <f t="shared" si="12"/>
        <v>477.71892376208916</v>
      </c>
      <c r="AD84" s="41">
        <f t="shared" si="13"/>
        <v>2596.2984987070063</v>
      </c>
      <c r="AE84" s="41">
        <f t="shared" si="14"/>
        <v>0.25962984987070059</v>
      </c>
      <c r="AO84" s="41">
        <v>13</v>
      </c>
      <c r="AP84">
        <v>0.22600000000000001</v>
      </c>
      <c r="AQ84" s="41">
        <f t="shared" si="15"/>
        <v>0.33264760337379146</v>
      </c>
      <c r="AR84" s="41">
        <v>0.184</v>
      </c>
      <c r="AS84" s="34">
        <f t="shared" si="16"/>
        <v>13.068298703970378</v>
      </c>
      <c r="AT84" s="41">
        <f t="shared" si="17"/>
        <v>522.73194815881516</v>
      </c>
      <c r="AU84" s="41">
        <f t="shared" si="18"/>
        <v>2840.9345008631258</v>
      </c>
      <c r="AV84" s="41">
        <f t="shared" si="19"/>
        <v>0.28409345008631259</v>
      </c>
      <c r="BF84">
        <v>0.25962984987070059</v>
      </c>
      <c r="BG84">
        <v>0.28409345008631259</v>
      </c>
    </row>
    <row r="85" spans="1:59" x14ac:dyDescent="0.2">
      <c r="A85">
        <v>14</v>
      </c>
      <c r="B85">
        <v>0.27300000000000002</v>
      </c>
      <c r="C85" s="41">
        <f t="shared" si="20"/>
        <v>0.42654612697760425</v>
      </c>
      <c r="D85" s="41">
        <v>0.19600000000000001</v>
      </c>
      <c r="E85" s="34">
        <f t="shared" si="6"/>
        <v>16.757169274120166</v>
      </c>
      <c r="F85" s="41">
        <f t="shared" si="7"/>
        <v>670.28677096480669</v>
      </c>
      <c r="G85" s="41">
        <f t="shared" si="8"/>
        <v>3419.8304641061563</v>
      </c>
      <c r="H85" s="41">
        <f t="shared" si="9"/>
        <v>0.34198304641061567</v>
      </c>
      <c r="X85">
        <v>14</v>
      </c>
      <c r="Y85">
        <v>0.17699999999999999</v>
      </c>
      <c r="Z85" s="41">
        <f t="shared" si="10"/>
        <v>0.21545840250876219</v>
      </c>
      <c r="AA85">
        <v>0.19800000000000001</v>
      </c>
      <c r="AB85" s="34">
        <f t="shared" si="11"/>
        <v>8.4644372414156575</v>
      </c>
      <c r="AC85" s="41">
        <f t="shared" si="12"/>
        <v>338.57748965662631</v>
      </c>
      <c r="AD85" s="41">
        <f t="shared" si="13"/>
        <v>1709.9873214981126</v>
      </c>
      <c r="AE85" s="41">
        <f t="shared" si="14"/>
        <v>0.17099873214981126</v>
      </c>
      <c r="AO85" s="41">
        <v>14</v>
      </c>
      <c r="AP85">
        <v>0.182</v>
      </c>
      <c r="AQ85" s="41">
        <f t="shared" si="15"/>
        <v>0.24213124871425634</v>
      </c>
      <c r="AR85" s="41">
        <v>0.19800000000000001</v>
      </c>
      <c r="AS85" s="34">
        <f t="shared" si="16"/>
        <v>9.5122990566314982</v>
      </c>
      <c r="AT85" s="41">
        <f t="shared" si="17"/>
        <v>380.49196226525993</v>
      </c>
      <c r="AU85" s="41">
        <f t="shared" si="18"/>
        <v>1921.6765770972722</v>
      </c>
      <c r="AV85" s="41">
        <f t="shared" si="19"/>
        <v>0.19216765770972724</v>
      </c>
      <c r="BF85">
        <v>0.17099873214981126</v>
      </c>
      <c r="BG85">
        <v>0.19216765770972724</v>
      </c>
    </row>
    <row r="86" spans="1:59" x14ac:dyDescent="0.2">
      <c r="A86">
        <v>15</v>
      </c>
      <c r="B86">
        <v>0.39150000000000001</v>
      </c>
      <c r="C86" s="41">
        <f t="shared" si="20"/>
        <v>0.67002260119169921</v>
      </c>
      <c r="D86" s="41">
        <v>0.21</v>
      </c>
      <c r="E86" s="34">
        <f t="shared" si="6"/>
        <v>26.322316475388181</v>
      </c>
      <c r="F86" s="41">
        <f t="shared" si="7"/>
        <v>1052.8926590155272</v>
      </c>
      <c r="G86" s="41">
        <f t="shared" si="8"/>
        <v>5013.7745667406061</v>
      </c>
      <c r="H86" s="41">
        <f t="shared" si="9"/>
        <v>0.50137745667406064</v>
      </c>
      <c r="J86" s="41"/>
      <c r="K86" s="41"/>
      <c r="X86">
        <v>15</v>
      </c>
      <c r="Y86">
        <v>0.19750000000000001</v>
      </c>
      <c r="Z86" s="41">
        <f t="shared" si="10"/>
        <v>0.25327430363401587</v>
      </c>
      <c r="AA86">
        <v>0.17</v>
      </c>
      <c r="AB86" s="34">
        <f t="shared" si="11"/>
        <v>9.9500619284791956</v>
      </c>
      <c r="AC86" s="41">
        <f t="shared" si="12"/>
        <v>398.00247713916781</v>
      </c>
      <c r="AD86" s="41">
        <f t="shared" si="13"/>
        <v>2341.1910419951046</v>
      </c>
      <c r="AE86" s="41">
        <f t="shared" si="14"/>
        <v>0.23411910419951049</v>
      </c>
      <c r="AO86" s="41">
        <v>15</v>
      </c>
      <c r="AP86">
        <v>0.20599999999999999</v>
      </c>
      <c r="AQ86" s="41">
        <f t="shared" si="15"/>
        <v>0.29150380580127544</v>
      </c>
      <c r="AR86" s="41">
        <v>0.17</v>
      </c>
      <c r="AS86" s="34">
        <f t="shared" si="16"/>
        <v>11.451935227907249</v>
      </c>
      <c r="AT86" s="41">
        <f t="shared" si="17"/>
        <v>458.07740911628997</v>
      </c>
      <c r="AU86" s="41">
        <f t="shared" si="18"/>
        <v>2694.5729948017056</v>
      </c>
      <c r="AV86" s="41">
        <f t="shared" si="19"/>
        <v>0.26945729948017055</v>
      </c>
      <c r="BF86">
        <v>0.23411910419951049</v>
      </c>
      <c r="BG86">
        <v>0.26945729948017055</v>
      </c>
    </row>
    <row r="87" spans="1:59" x14ac:dyDescent="0.2">
      <c r="A87">
        <v>16</v>
      </c>
      <c r="B87">
        <v>0.26300000000000001</v>
      </c>
      <c r="C87" s="41">
        <f t="shared" si="20"/>
        <v>0.40599958906924183</v>
      </c>
      <c r="D87" s="41">
        <v>0.20100000000000001</v>
      </c>
      <c r="E87" s="34">
        <f t="shared" si="6"/>
        <v>15.949983856291643</v>
      </c>
      <c r="F87" s="41">
        <f t="shared" si="7"/>
        <v>637.99935425166575</v>
      </c>
      <c r="G87" s="41">
        <f t="shared" si="8"/>
        <v>3174.1261405555506</v>
      </c>
      <c r="H87" s="41">
        <f t="shared" si="9"/>
        <v>0.3174126140555551</v>
      </c>
      <c r="J87" s="41"/>
      <c r="K87" s="41"/>
      <c r="X87">
        <v>16</v>
      </c>
      <c r="Y87">
        <v>0.18149999999999999</v>
      </c>
      <c r="Z87" s="41">
        <f t="shared" si="10"/>
        <v>0.2237594539752813</v>
      </c>
      <c r="AA87">
        <v>0.183</v>
      </c>
      <c r="AB87" s="34">
        <f t="shared" si="11"/>
        <v>8.7905499776003371</v>
      </c>
      <c r="AC87" s="41">
        <f t="shared" si="12"/>
        <v>351.62199910401347</v>
      </c>
      <c r="AD87" s="41">
        <f t="shared" si="13"/>
        <v>1921.4316890929699</v>
      </c>
      <c r="AE87" s="41">
        <f t="shared" si="14"/>
        <v>0.192143168909297</v>
      </c>
      <c r="AO87" s="41">
        <v>16</v>
      </c>
      <c r="AP87">
        <v>0.188</v>
      </c>
      <c r="AQ87" s="41">
        <f t="shared" si="15"/>
        <v>0.25447438798601113</v>
      </c>
      <c r="AR87" s="41">
        <v>0.183</v>
      </c>
      <c r="AS87" s="34">
        <f t="shared" si="16"/>
        <v>9.9972080994504378</v>
      </c>
      <c r="AT87" s="41">
        <f t="shared" si="17"/>
        <v>399.88832397801752</v>
      </c>
      <c r="AU87" s="41">
        <f t="shared" si="18"/>
        <v>2185.1820982405329</v>
      </c>
      <c r="AV87" s="41">
        <f t="shared" si="19"/>
        <v>0.21851820982405329</v>
      </c>
      <c r="BF87">
        <v>0.192143168909297</v>
      </c>
      <c r="BG87">
        <v>0.21851820982405329</v>
      </c>
    </row>
    <row r="88" spans="1:59" x14ac:dyDescent="0.2">
      <c r="A88">
        <v>17</v>
      </c>
      <c r="B88">
        <v>0.30649999999999999</v>
      </c>
      <c r="C88" s="41">
        <f t="shared" si="20"/>
        <v>0.49537702897061842</v>
      </c>
      <c r="D88" s="41">
        <v>0.19500000000000001</v>
      </c>
      <c r="E88" s="34">
        <f t="shared" si="6"/>
        <v>19.461240423845723</v>
      </c>
      <c r="F88" s="41">
        <f t="shared" si="7"/>
        <v>778.44961695382892</v>
      </c>
      <c r="G88" s="41">
        <f t="shared" si="8"/>
        <v>3992.0493177119429</v>
      </c>
      <c r="H88" s="41">
        <f t="shared" si="9"/>
        <v>0.39920493177119426</v>
      </c>
      <c r="J88" s="41"/>
      <c r="K88" s="41"/>
      <c r="X88">
        <v>17</v>
      </c>
      <c r="Y88">
        <v>0.21149999999999999</v>
      </c>
      <c r="Z88" s="41">
        <f t="shared" si="10"/>
        <v>0.27909979708540855</v>
      </c>
      <c r="AA88">
        <v>0.20300000000000001</v>
      </c>
      <c r="AB88" s="34">
        <f t="shared" si="11"/>
        <v>10.964634885498192</v>
      </c>
      <c r="AC88" s="41">
        <f t="shared" si="12"/>
        <v>438.58539541992769</v>
      </c>
      <c r="AD88" s="41">
        <f t="shared" si="13"/>
        <v>2160.5191892607272</v>
      </c>
      <c r="AE88" s="41">
        <f t="shared" si="14"/>
        <v>0.21605191892607273</v>
      </c>
      <c r="AO88" s="41">
        <v>17</v>
      </c>
      <c r="AP88">
        <v>0.22</v>
      </c>
      <c r="AQ88" s="41">
        <f t="shared" si="15"/>
        <v>0.32030446410203667</v>
      </c>
      <c r="AR88" s="41">
        <v>0.20300000000000001</v>
      </c>
      <c r="AS88" s="34">
        <f t="shared" si="16"/>
        <v>12.58338966115144</v>
      </c>
      <c r="AT88" s="41">
        <f t="shared" si="17"/>
        <v>503.33558644605762</v>
      </c>
      <c r="AU88" s="41">
        <f t="shared" si="18"/>
        <v>2479.4856475175252</v>
      </c>
      <c r="AV88" s="41">
        <f t="shared" si="19"/>
        <v>0.24794856475175253</v>
      </c>
      <c r="BF88">
        <v>0.21605191892607273</v>
      </c>
      <c r="BG88">
        <v>0.24794856475175253</v>
      </c>
    </row>
    <row r="89" spans="1:59" x14ac:dyDescent="0.2">
      <c r="A89">
        <v>18</v>
      </c>
      <c r="B89">
        <v>0.27550000000000002</v>
      </c>
      <c r="C89" s="41">
        <f t="shared" si="20"/>
        <v>0.43168276145469486</v>
      </c>
      <c r="D89" s="41">
        <v>0.2</v>
      </c>
      <c r="E89" s="34">
        <f t="shared" si="6"/>
        <v>16.958965628577296</v>
      </c>
      <c r="F89" s="41">
        <f t="shared" si="7"/>
        <v>678.35862514309179</v>
      </c>
      <c r="G89" s="41">
        <f t="shared" si="8"/>
        <v>3391.7931257154587</v>
      </c>
      <c r="H89" s="41">
        <f t="shared" si="9"/>
        <v>0.33917931257154588</v>
      </c>
      <c r="J89" s="41"/>
      <c r="K89" s="41"/>
      <c r="X89">
        <v>18</v>
      </c>
      <c r="Y89">
        <v>0.14899999999999999</v>
      </c>
      <c r="Z89" s="41">
        <f t="shared" si="10"/>
        <v>0.16380741560597673</v>
      </c>
      <c r="AA89">
        <v>0.17799999999999999</v>
      </c>
      <c r="AB89" s="34">
        <f t="shared" si="11"/>
        <v>6.4352913273776569</v>
      </c>
      <c r="AC89" s="41">
        <f t="shared" si="12"/>
        <v>257.41165309510626</v>
      </c>
      <c r="AD89" s="41">
        <f t="shared" si="13"/>
        <v>1446.1328825567768</v>
      </c>
      <c r="AE89" s="41">
        <f t="shared" si="14"/>
        <v>0.14461328825567768</v>
      </c>
      <c r="AO89" s="41">
        <v>18</v>
      </c>
      <c r="AP89">
        <v>0.151</v>
      </c>
      <c r="AQ89" s="41">
        <f t="shared" si="15"/>
        <v>0.17835836247685663</v>
      </c>
      <c r="AR89" s="41">
        <v>0.17799999999999999</v>
      </c>
      <c r="AS89" s="34">
        <f t="shared" si="16"/>
        <v>7.0069356687336528</v>
      </c>
      <c r="AT89" s="41">
        <f t="shared" si="17"/>
        <v>280.27742674934609</v>
      </c>
      <c r="AU89" s="41">
        <f t="shared" si="18"/>
        <v>1574.5922851086859</v>
      </c>
      <c r="AV89" s="41">
        <f t="shared" si="19"/>
        <v>0.15745922851086858</v>
      </c>
      <c r="BF89">
        <v>0.14461328825567768</v>
      </c>
      <c r="BG89">
        <v>0.15745922851086858</v>
      </c>
    </row>
    <row r="90" spans="1:59" x14ac:dyDescent="0.2">
      <c r="A90">
        <v>19</v>
      </c>
      <c r="B90">
        <v>0.28399999999999997</v>
      </c>
      <c r="C90" s="41">
        <f t="shared" si="20"/>
        <v>0.44914731867680285</v>
      </c>
      <c r="D90" s="41">
        <v>0.20100000000000001</v>
      </c>
      <c r="E90" s="34">
        <f t="shared" si="6"/>
        <v>17.645073233731541</v>
      </c>
      <c r="F90" s="41">
        <f t="shared" si="7"/>
        <v>705.8029293492616</v>
      </c>
      <c r="G90" s="41">
        <f t="shared" si="8"/>
        <v>3511.4573599465748</v>
      </c>
      <c r="H90" s="41">
        <f t="shared" si="9"/>
        <v>0.35114573599465748</v>
      </c>
      <c r="J90" s="41"/>
      <c r="K90" s="41"/>
      <c r="X90">
        <v>19</v>
      </c>
      <c r="Y90">
        <v>0.215</v>
      </c>
      <c r="Z90" s="41">
        <f t="shared" si="10"/>
        <v>0.28555617044825676</v>
      </c>
      <c r="AA90">
        <v>0.186</v>
      </c>
      <c r="AB90" s="34">
        <f t="shared" si="11"/>
        <v>11.218278124752944</v>
      </c>
      <c r="AC90" s="41">
        <f t="shared" si="12"/>
        <v>448.73112499011773</v>
      </c>
      <c r="AD90" s="41">
        <f t="shared" si="13"/>
        <v>2412.5329300543963</v>
      </c>
      <c r="AE90" s="41">
        <f t="shared" si="14"/>
        <v>0.2412532930054396</v>
      </c>
      <c r="AO90" s="41">
        <v>19</v>
      </c>
      <c r="AP90">
        <v>0.219</v>
      </c>
      <c r="AQ90" s="41">
        <f t="shared" si="15"/>
        <v>0.31824727422341087</v>
      </c>
      <c r="AR90" s="41">
        <v>0.186</v>
      </c>
      <c r="AS90" s="34">
        <f t="shared" si="16"/>
        <v>12.502571487348284</v>
      </c>
      <c r="AT90" s="41">
        <f t="shared" si="17"/>
        <v>500.10285949393136</v>
      </c>
      <c r="AU90" s="41">
        <f t="shared" si="18"/>
        <v>2688.7250510426416</v>
      </c>
      <c r="AV90" s="41">
        <f t="shared" si="19"/>
        <v>0.26887250510426414</v>
      </c>
      <c r="BF90">
        <v>0.2412532930054396</v>
      </c>
      <c r="BG90">
        <v>0.26887250510426414</v>
      </c>
    </row>
    <row r="91" spans="1:59" x14ac:dyDescent="0.2">
      <c r="A91">
        <v>20</v>
      </c>
      <c r="B91">
        <v>0.253</v>
      </c>
      <c r="C91" s="41">
        <f t="shared" si="20"/>
        <v>0.38545305116087936</v>
      </c>
      <c r="D91" s="41">
        <v>0.19</v>
      </c>
      <c r="E91" s="34">
        <f t="shared" si="6"/>
        <v>15.142798438463117</v>
      </c>
      <c r="F91" s="41">
        <f t="shared" si="7"/>
        <v>605.71193753852469</v>
      </c>
      <c r="G91" s="41">
        <f t="shared" si="8"/>
        <v>3187.9575659922352</v>
      </c>
      <c r="H91" s="41">
        <f t="shared" si="9"/>
        <v>0.31879575659922355</v>
      </c>
      <c r="J91" s="41"/>
      <c r="K91" s="41"/>
      <c r="X91">
        <v>20</v>
      </c>
      <c r="Y91">
        <v>0.1545</v>
      </c>
      <c r="Z91" s="41">
        <f t="shared" si="10"/>
        <v>0.17395314517616675</v>
      </c>
      <c r="AA91">
        <v>0.17899999999999999</v>
      </c>
      <c r="AB91" s="34">
        <f t="shared" si="11"/>
        <v>6.8338735604922647</v>
      </c>
      <c r="AC91" s="41">
        <f t="shared" si="12"/>
        <v>273.35494241969059</v>
      </c>
      <c r="AD91" s="41">
        <f t="shared" si="13"/>
        <v>1527.1225833502267</v>
      </c>
      <c r="AE91" s="41">
        <f t="shared" si="14"/>
        <v>0.15271225833502267</v>
      </c>
      <c r="AO91" s="41">
        <v>20</v>
      </c>
      <c r="AP91">
        <v>0.158</v>
      </c>
      <c r="AQ91" s="41">
        <f t="shared" si="15"/>
        <v>0.19275869162723722</v>
      </c>
      <c r="AR91" s="41">
        <v>0.17899999999999999</v>
      </c>
      <c r="AS91" s="34">
        <f t="shared" si="16"/>
        <v>7.5726628853557472</v>
      </c>
      <c r="AT91" s="41">
        <f t="shared" si="17"/>
        <v>302.90651541422989</v>
      </c>
      <c r="AU91" s="41">
        <f t="shared" si="18"/>
        <v>1692.2151699118988</v>
      </c>
      <c r="AV91" s="41">
        <f t="shared" si="19"/>
        <v>0.16922151699118987</v>
      </c>
      <c r="BF91">
        <v>0.15271225833502267</v>
      </c>
      <c r="BG91">
        <v>0.16922151699118987</v>
      </c>
    </row>
    <row r="92" spans="1:59" x14ac:dyDescent="0.2">
      <c r="A92">
        <v>21</v>
      </c>
      <c r="B92">
        <v>0.36649999999999999</v>
      </c>
      <c r="C92" s="41">
        <f t="shared" si="20"/>
        <v>0.61865625642079303</v>
      </c>
      <c r="D92" s="41">
        <v>0.2</v>
      </c>
      <c r="E92" s="34">
        <f t="shared" si="6"/>
        <v>24.304352930816869</v>
      </c>
      <c r="F92" s="41">
        <f t="shared" si="7"/>
        <v>972.17411723267469</v>
      </c>
      <c r="G92" s="41">
        <f t="shared" si="8"/>
        <v>4860.8705861633734</v>
      </c>
      <c r="H92" s="41">
        <f t="shared" si="9"/>
        <v>0.48608705861633728</v>
      </c>
      <c r="J92" s="41"/>
      <c r="K92" s="41"/>
      <c r="X92">
        <v>21</v>
      </c>
      <c r="Y92">
        <v>0.22450000000000001</v>
      </c>
      <c r="Z92" s="41">
        <f t="shared" si="10"/>
        <v>0.30308061243313039</v>
      </c>
      <c r="AA92">
        <v>0.183</v>
      </c>
      <c r="AB92" s="34">
        <f t="shared" si="11"/>
        <v>11.906738345587264</v>
      </c>
      <c r="AC92" s="41">
        <f t="shared" si="12"/>
        <v>476.26953382349058</v>
      </c>
      <c r="AD92" s="41">
        <f t="shared" si="13"/>
        <v>2602.565758598309</v>
      </c>
      <c r="AE92" s="41">
        <f t="shared" si="14"/>
        <v>0.26025657585983092</v>
      </c>
      <c r="AO92" s="41">
        <v>21</v>
      </c>
      <c r="AP92">
        <v>0.22800000000000001</v>
      </c>
      <c r="AQ92" s="41">
        <f t="shared" si="15"/>
        <v>0.33676198313104305</v>
      </c>
      <c r="AR92" s="41">
        <v>0.183</v>
      </c>
      <c r="AS92" s="34">
        <f t="shared" si="16"/>
        <v>13.229935051576691</v>
      </c>
      <c r="AT92" s="41">
        <f t="shared" si="17"/>
        <v>529.19740206306767</v>
      </c>
      <c r="AU92" s="41">
        <f t="shared" si="18"/>
        <v>2891.789082311845</v>
      </c>
      <c r="AV92" s="41">
        <f t="shared" si="19"/>
        <v>0.28917890823118453</v>
      </c>
      <c r="BF92">
        <v>0.26025657585983092</v>
      </c>
      <c r="BG92">
        <v>0.28917890823118453</v>
      </c>
    </row>
    <row r="93" spans="1:59" x14ac:dyDescent="0.2">
      <c r="A93">
        <v>22</v>
      </c>
      <c r="B93">
        <v>0.26300000000000001</v>
      </c>
      <c r="C93" s="41">
        <f t="shared" si="20"/>
        <v>0.40599958906924183</v>
      </c>
      <c r="D93" s="41">
        <v>0.19800000000000001</v>
      </c>
      <c r="E93" s="34">
        <f t="shared" si="6"/>
        <v>15.949983856291643</v>
      </c>
      <c r="F93" s="41">
        <f t="shared" si="7"/>
        <v>637.99935425166575</v>
      </c>
      <c r="G93" s="41">
        <f t="shared" si="8"/>
        <v>3222.2189608669987</v>
      </c>
      <c r="H93" s="41">
        <f t="shared" si="9"/>
        <v>0.32222189608669988</v>
      </c>
      <c r="J93" s="41"/>
      <c r="K93" s="41"/>
      <c r="X93">
        <v>22</v>
      </c>
      <c r="Y93">
        <v>0.1615</v>
      </c>
      <c r="Z93" s="41">
        <f t="shared" si="10"/>
        <v>0.18686589190186312</v>
      </c>
      <c r="AA93">
        <v>0.19800000000000001</v>
      </c>
      <c r="AB93" s="34">
        <f t="shared" si="11"/>
        <v>7.3411600390017648</v>
      </c>
      <c r="AC93" s="41">
        <f t="shared" si="12"/>
        <v>293.64640156007061</v>
      </c>
      <c r="AD93" s="41">
        <f t="shared" si="13"/>
        <v>1483.0626341417708</v>
      </c>
      <c r="AE93" s="41">
        <f t="shared" si="14"/>
        <v>0.14830626341417708</v>
      </c>
      <c r="AO93" s="41">
        <v>22</v>
      </c>
      <c r="AP93">
        <v>0.16500000000000001</v>
      </c>
      <c r="AQ93" s="41">
        <f t="shared" si="15"/>
        <v>0.2071590207776178</v>
      </c>
      <c r="AR93" s="41">
        <v>0.19800000000000001</v>
      </c>
      <c r="AS93" s="34">
        <f t="shared" si="16"/>
        <v>8.1383901019778424</v>
      </c>
      <c r="AT93" s="41">
        <f t="shared" si="17"/>
        <v>325.53560407911368</v>
      </c>
      <c r="AU93" s="41">
        <f t="shared" si="18"/>
        <v>1644.119212520776</v>
      </c>
      <c r="AV93" s="41">
        <f t="shared" si="19"/>
        <v>0.1644119212520776</v>
      </c>
      <c r="BF93">
        <v>0.14830626341417708</v>
      </c>
      <c r="BG93">
        <v>0.1644119212520776</v>
      </c>
    </row>
    <row r="94" spans="1:59" x14ac:dyDescent="0.2">
      <c r="A94">
        <v>23</v>
      </c>
      <c r="B94">
        <v>0.3805</v>
      </c>
      <c r="C94" s="41">
        <f t="shared" si="20"/>
        <v>0.64742140949250049</v>
      </c>
      <c r="D94" s="41">
        <v>0.20599999999999999</v>
      </c>
      <c r="E94" s="34">
        <f t="shared" si="6"/>
        <v>25.434412515776803</v>
      </c>
      <c r="F94" s="41">
        <f t="shared" si="7"/>
        <v>1017.3765006310721</v>
      </c>
      <c r="G94" s="41">
        <f t="shared" si="8"/>
        <v>4938.7208768498649</v>
      </c>
      <c r="H94" s="41">
        <f t="shared" si="9"/>
        <v>0.49387208768498653</v>
      </c>
      <c r="J94" s="18"/>
      <c r="K94" s="18"/>
      <c r="X94">
        <v>23</v>
      </c>
      <c r="Y94">
        <v>0.22900000000000001</v>
      </c>
      <c r="Z94" s="41">
        <f t="shared" si="10"/>
        <v>0.3113816638996495</v>
      </c>
      <c r="AA94">
        <v>0.19600000000000001</v>
      </c>
      <c r="AB94" s="34">
        <f t="shared" si="11"/>
        <v>12.232851081771944</v>
      </c>
      <c r="AC94" s="41">
        <f t="shared" si="12"/>
        <v>489.31404327087773</v>
      </c>
      <c r="AD94" s="41">
        <f t="shared" si="13"/>
        <v>2496.5002207697844</v>
      </c>
      <c r="AE94" s="41">
        <f t="shared" si="14"/>
        <v>0.2496500220769784</v>
      </c>
      <c r="AO94" s="41">
        <v>23</v>
      </c>
      <c r="AP94">
        <v>0.22800000000000001</v>
      </c>
      <c r="AQ94" s="41">
        <f t="shared" si="15"/>
        <v>0.33676198313104305</v>
      </c>
      <c r="AR94" s="41">
        <v>0.19600000000000001</v>
      </c>
      <c r="AS94" s="34">
        <f t="shared" si="16"/>
        <v>13.229935051576691</v>
      </c>
      <c r="AT94" s="41">
        <f t="shared" si="17"/>
        <v>529.19740206306767</v>
      </c>
      <c r="AU94" s="41">
        <f t="shared" si="18"/>
        <v>2699.9867452197327</v>
      </c>
      <c r="AV94" s="41">
        <f t="shared" si="19"/>
        <v>0.26999867452197329</v>
      </c>
      <c r="BF94">
        <v>0.2496500220769784</v>
      </c>
      <c r="BG94">
        <v>0.26999867452197329</v>
      </c>
    </row>
    <row r="95" spans="1:59" x14ac:dyDescent="0.2">
      <c r="A95">
        <v>24</v>
      </c>
      <c r="B95">
        <v>0.248</v>
      </c>
      <c r="C95" s="41">
        <f t="shared" si="20"/>
        <v>0.37517978220669812</v>
      </c>
      <c r="D95" s="41">
        <v>0.183</v>
      </c>
      <c r="E95" s="34">
        <f t="shared" si="6"/>
        <v>14.739205729548855</v>
      </c>
      <c r="F95" s="41">
        <f t="shared" si="7"/>
        <v>589.56822918195417</v>
      </c>
      <c r="G95" s="41">
        <f t="shared" si="8"/>
        <v>3221.6843124696948</v>
      </c>
      <c r="H95" s="41">
        <f t="shared" si="9"/>
        <v>0.32216843124696948</v>
      </c>
      <c r="X95">
        <v>24</v>
      </c>
      <c r="Y95">
        <v>0.16850000000000001</v>
      </c>
      <c r="Z95" s="41">
        <f t="shared" si="10"/>
        <v>0.19977863862755948</v>
      </c>
      <c r="AA95">
        <v>0.19</v>
      </c>
      <c r="AB95" s="34">
        <f t="shared" si="11"/>
        <v>7.848446517511265</v>
      </c>
      <c r="AC95" s="41">
        <f t="shared" si="12"/>
        <v>313.93786070045059</v>
      </c>
      <c r="AD95" s="41">
        <f t="shared" si="13"/>
        <v>1652.3045300023714</v>
      </c>
      <c r="AE95" s="41">
        <f t="shared" si="14"/>
        <v>0.16523045300023717</v>
      </c>
      <c r="AO95" s="41">
        <v>24</v>
      </c>
      <c r="AP95">
        <v>0.16900000000000001</v>
      </c>
      <c r="AQ95" s="41">
        <f t="shared" si="15"/>
        <v>0.21538778029212099</v>
      </c>
      <c r="AR95" s="41">
        <v>0.19</v>
      </c>
      <c r="AS95" s="34">
        <f t="shared" si="16"/>
        <v>8.461662797190467</v>
      </c>
      <c r="AT95" s="41">
        <f t="shared" si="17"/>
        <v>338.46651188761871</v>
      </c>
      <c r="AU95" s="41">
        <f t="shared" si="18"/>
        <v>1781.4026941453617</v>
      </c>
      <c r="AV95" s="41">
        <f t="shared" si="19"/>
        <v>0.17814026941453617</v>
      </c>
      <c r="BF95">
        <v>0.16523045300023717</v>
      </c>
      <c r="BG95">
        <v>0.17814026941453617</v>
      </c>
    </row>
    <row r="96" spans="1:59" x14ac:dyDescent="0.2">
      <c r="A96">
        <v>25</v>
      </c>
      <c r="B96">
        <v>0.32</v>
      </c>
      <c r="C96" s="41">
        <f t="shared" si="20"/>
        <v>0.5231148551469077</v>
      </c>
      <c r="D96" s="41">
        <v>0.20699999999999999</v>
      </c>
      <c r="E96" s="34">
        <f t="shared" si="6"/>
        <v>20.550940737914232</v>
      </c>
      <c r="F96" s="41">
        <f t="shared" si="7"/>
        <v>822.03762951656927</v>
      </c>
      <c r="G96" s="41">
        <f t="shared" si="8"/>
        <v>3971.1962778578227</v>
      </c>
      <c r="H96" s="41">
        <f t="shared" si="9"/>
        <v>0.39711962778578225</v>
      </c>
      <c r="X96">
        <v>25</v>
      </c>
      <c r="Y96">
        <v>0.22750000000000001</v>
      </c>
      <c r="Z96" s="41">
        <f t="shared" si="10"/>
        <v>0.30861464674414313</v>
      </c>
      <c r="AA96">
        <v>0.19</v>
      </c>
      <c r="AB96" s="34">
        <f t="shared" si="11"/>
        <v>12.124146836377051</v>
      </c>
      <c r="AC96" s="41">
        <f t="shared" si="12"/>
        <v>484.96587345508203</v>
      </c>
      <c r="AD96" s="41">
        <f t="shared" si="13"/>
        <v>2552.4519655530635</v>
      </c>
      <c r="AE96" s="41">
        <f t="shared" si="14"/>
        <v>0.25524519655530631</v>
      </c>
      <c r="AO96" s="41">
        <v>25</v>
      </c>
      <c r="AP96">
        <v>0.22800000000000001</v>
      </c>
      <c r="AQ96" s="41">
        <f t="shared" si="15"/>
        <v>0.33676198313104305</v>
      </c>
      <c r="AR96" s="41">
        <v>0.19</v>
      </c>
      <c r="AS96" s="34">
        <f t="shared" si="16"/>
        <v>13.229935051576691</v>
      </c>
      <c r="AT96" s="41">
        <f t="shared" si="17"/>
        <v>529.19740206306767</v>
      </c>
      <c r="AU96" s="41">
        <f t="shared" si="18"/>
        <v>2785.2494845424612</v>
      </c>
      <c r="AV96" s="41">
        <f t="shared" si="19"/>
        <v>0.27852494845424614</v>
      </c>
      <c r="BF96">
        <v>0.25524519655530631</v>
      </c>
      <c r="BG96">
        <v>0.27852494845424614</v>
      </c>
    </row>
    <row r="97" spans="1:59" x14ac:dyDescent="0.2">
      <c r="A97">
        <v>26</v>
      </c>
      <c r="B97">
        <v>0.25</v>
      </c>
      <c r="C97" s="41">
        <f t="shared" si="20"/>
        <v>0.37928908978837061</v>
      </c>
      <c r="D97" s="41">
        <v>0.18</v>
      </c>
      <c r="E97" s="34">
        <f t="shared" si="6"/>
        <v>14.90064281311456</v>
      </c>
      <c r="F97" s="41">
        <f t="shared" si="7"/>
        <v>596.02571252458245</v>
      </c>
      <c r="G97" s="41">
        <f t="shared" si="8"/>
        <v>3311.2539584699025</v>
      </c>
      <c r="H97" s="41">
        <f t="shared" si="9"/>
        <v>0.33112539584699024</v>
      </c>
      <c r="X97">
        <v>26</v>
      </c>
      <c r="Y97">
        <v>0.16800000000000001</v>
      </c>
      <c r="Z97" s="41">
        <f t="shared" si="10"/>
        <v>0.19885629957572404</v>
      </c>
      <c r="AA97">
        <v>0.19500000000000001</v>
      </c>
      <c r="AB97" s="34">
        <f t="shared" si="11"/>
        <v>7.8122117690463009</v>
      </c>
      <c r="AC97" s="41">
        <f t="shared" si="12"/>
        <v>312.48847076185206</v>
      </c>
      <c r="AD97" s="41">
        <f t="shared" si="13"/>
        <v>1602.504978265908</v>
      </c>
      <c r="AE97" s="41">
        <f t="shared" si="14"/>
        <v>0.16025049782659079</v>
      </c>
      <c r="AO97" s="41">
        <v>26</v>
      </c>
      <c r="AP97">
        <v>0.17</v>
      </c>
      <c r="AQ97" s="41">
        <f t="shared" si="15"/>
        <v>0.21744497017074679</v>
      </c>
      <c r="AR97" s="41">
        <v>0.19500000000000001</v>
      </c>
      <c r="AS97" s="34">
        <f t="shared" si="16"/>
        <v>8.5424809709936245</v>
      </c>
      <c r="AT97" s="41">
        <f t="shared" si="17"/>
        <v>341.69923883974496</v>
      </c>
      <c r="AU97" s="41">
        <f t="shared" si="18"/>
        <v>1752.303788921769</v>
      </c>
      <c r="AV97" s="41">
        <f t="shared" si="19"/>
        <v>0.17523037889217691</v>
      </c>
      <c r="BF97">
        <v>0.16025049782659079</v>
      </c>
      <c r="BG97">
        <v>0.17523037889217691</v>
      </c>
    </row>
    <row r="98" spans="1:59" x14ac:dyDescent="0.2">
      <c r="A98">
        <v>27</v>
      </c>
      <c r="B98">
        <v>0.34849999999999998</v>
      </c>
      <c r="C98" s="41">
        <f t="shared" si="20"/>
        <v>0.58167248818574058</v>
      </c>
      <c r="D98" s="41">
        <v>0.19900000000000001</v>
      </c>
      <c r="E98" s="34">
        <f t="shared" si="6"/>
        <v>22.851419178725521</v>
      </c>
      <c r="F98" s="41">
        <f t="shared" si="7"/>
        <v>914.05676714902086</v>
      </c>
      <c r="G98" s="41">
        <f t="shared" si="8"/>
        <v>4593.2500861759836</v>
      </c>
      <c r="H98" s="41">
        <f t="shared" si="9"/>
        <v>0.4593250086175984</v>
      </c>
      <c r="X98">
        <v>27</v>
      </c>
      <c r="Y98">
        <v>0.1915</v>
      </c>
      <c r="Z98" s="41">
        <f t="shared" si="10"/>
        <v>0.2422062350119904</v>
      </c>
      <c r="AA98">
        <v>0.17799999999999999</v>
      </c>
      <c r="AB98" s="34">
        <f t="shared" si="11"/>
        <v>9.5152449468996227</v>
      </c>
      <c r="AC98" s="41">
        <f t="shared" si="12"/>
        <v>380.6097978759849</v>
      </c>
      <c r="AD98" s="41">
        <f t="shared" si="13"/>
        <v>2138.2572914381176</v>
      </c>
      <c r="AE98" s="41">
        <f t="shared" si="14"/>
        <v>0.21382572914381176</v>
      </c>
      <c r="AO98" s="41">
        <v>27</v>
      </c>
      <c r="AP98">
        <v>0.19500000000000001</v>
      </c>
      <c r="AQ98" s="41">
        <f t="shared" si="15"/>
        <v>0.26887471713639172</v>
      </c>
      <c r="AR98" s="41">
        <v>0.17799999999999999</v>
      </c>
      <c r="AS98" s="34">
        <f t="shared" si="16"/>
        <v>10.562935316072531</v>
      </c>
      <c r="AT98" s="41">
        <f t="shared" si="17"/>
        <v>422.51741264290126</v>
      </c>
      <c r="AU98" s="41">
        <f t="shared" si="18"/>
        <v>2373.6933294545015</v>
      </c>
      <c r="AV98" s="41">
        <f t="shared" si="19"/>
        <v>0.23736933294545015</v>
      </c>
      <c r="BF98">
        <v>0.21382572914381176</v>
      </c>
      <c r="BG98">
        <v>0.23736933294545015</v>
      </c>
    </row>
    <row r="99" spans="1:59" x14ac:dyDescent="0.2">
      <c r="A99">
        <v>28</v>
      </c>
      <c r="B99">
        <v>0.26250000000000001</v>
      </c>
      <c r="C99" s="41">
        <f t="shared" si="20"/>
        <v>0.4049722621738237</v>
      </c>
      <c r="D99" s="41">
        <v>0.19900000000000001</v>
      </c>
      <c r="E99" s="34">
        <f t="shared" si="6"/>
        <v>15.909624585400216</v>
      </c>
      <c r="F99" s="41">
        <f t="shared" si="7"/>
        <v>636.38498341600871</v>
      </c>
      <c r="G99" s="41">
        <f t="shared" si="8"/>
        <v>3197.9144895276818</v>
      </c>
      <c r="H99" s="41">
        <f t="shared" si="9"/>
        <v>0.31979144895276818</v>
      </c>
      <c r="X99">
        <v>28</v>
      </c>
      <c r="Y99">
        <v>0.189</v>
      </c>
      <c r="Z99" s="41">
        <f t="shared" si="10"/>
        <v>0.23759453975281311</v>
      </c>
      <c r="AA99">
        <v>0.19500000000000001</v>
      </c>
      <c r="AB99" s="34">
        <f t="shared" si="11"/>
        <v>9.3340712045748013</v>
      </c>
      <c r="AC99" s="41">
        <f t="shared" si="12"/>
        <v>373.36284818299202</v>
      </c>
      <c r="AD99" s="41">
        <f t="shared" si="13"/>
        <v>1914.6812727332924</v>
      </c>
      <c r="AE99" s="41">
        <f t="shared" si="14"/>
        <v>0.19146812727332924</v>
      </c>
      <c r="AO99" s="41">
        <v>28</v>
      </c>
      <c r="AP99">
        <v>0.192</v>
      </c>
      <c r="AQ99" s="41">
        <f t="shared" si="15"/>
        <v>0.26270314750051432</v>
      </c>
      <c r="AR99" s="41">
        <v>0.19500000000000001</v>
      </c>
      <c r="AS99" s="34">
        <f t="shared" si="16"/>
        <v>10.320480794663062</v>
      </c>
      <c r="AT99" s="41">
        <f t="shared" si="17"/>
        <v>412.81923178652249</v>
      </c>
      <c r="AU99" s="41">
        <f t="shared" si="18"/>
        <v>2117.0217014693462</v>
      </c>
      <c r="AV99" s="41">
        <f t="shared" si="19"/>
        <v>0.21170217014693463</v>
      </c>
      <c r="BF99">
        <v>0.19146812727332924</v>
      </c>
      <c r="BG99">
        <v>0.21170217014693463</v>
      </c>
    </row>
    <row r="100" spans="1:59" x14ac:dyDescent="0.2">
      <c r="A100">
        <v>29</v>
      </c>
      <c r="B100">
        <v>0.35699999999999998</v>
      </c>
      <c r="C100" s="41">
        <f t="shared" si="20"/>
        <v>0.59913704540784873</v>
      </c>
      <c r="D100" s="41">
        <v>0.19400000000000001</v>
      </c>
      <c r="E100" s="34">
        <f t="shared" si="6"/>
        <v>23.53752678387977</v>
      </c>
      <c r="F100" s="41">
        <f t="shared" si="7"/>
        <v>941.50107135519079</v>
      </c>
      <c r="G100" s="41">
        <f t="shared" si="8"/>
        <v>4853.0983059545915</v>
      </c>
      <c r="H100" s="41">
        <f t="shared" si="9"/>
        <v>0.48530983059545918</v>
      </c>
      <c r="X100">
        <v>29</v>
      </c>
      <c r="Y100">
        <v>0.2175</v>
      </c>
      <c r="Z100" s="41">
        <f t="shared" si="10"/>
        <v>0.29016786570743403</v>
      </c>
      <c r="AA100">
        <v>0.19500000000000001</v>
      </c>
      <c r="AB100" s="34">
        <f t="shared" si="11"/>
        <v>11.399451867077765</v>
      </c>
      <c r="AC100" s="41">
        <f t="shared" si="12"/>
        <v>455.97807468311061</v>
      </c>
      <c r="AD100" s="41">
        <f t="shared" si="13"/>
        <v>2338.3491009390286</v>
      </c>
      <c r="AE100" s="41">
        <f t="shared" si="14"/>
        <v>0.23383491009390289</v>
      </c>
      <c r="AO100" s="41">
        <v>29</v>
      </c>
      <c r="AP100">
        <v>0.22900000000000001</v>
      </c>
      <c r="AQ100" s="41">
        <f t="shared" si="15"/>
        <v>0.33881917300966885</v>
      </c>
      <c r="AR100" s="41">
        <v>0.19500000000000001</v>
      </c>
      <c r="AS100" s="34">
        <f t="shared" si="16"/>
        <v>13.310753225379848</v>
      </c>
      <c r="AT100" s="41">
        <f t="shared" si="17"/>
        <v>532.43012901519387</v>
      </c>
      <c r="AU100" s="41">
        <f t="shared" si="18"/>
        <v>2730.410918026635</v>
      </c>
      <c r="AV100" s="41">
        <f t="shared" si="19"/>
        <v>0.2730410918026635</v>
      </c>
      <c r="BF100">
        <v>0.23383491009390289</v>
      </c>
      <c r="BG100">
        <v>0.2730410918026635</v>
      </c>
    </row>
    <row r="101" spans="1:59" x14ac:dyDescent="0.2">
      <c r="A101">
        <v>30</v>
      </c>
      <c r="B101">
        <v>0.25</v>
      </c>
      <c r="C101" s="41">
        <f t="shared" si="20"/>
        <v>0.37928908978837061</v>
      </c>
      <c r="D101" s="41">
        <v>0.20200000000000001</v>
      </c>
      <c r="E101" s="34">
        <f t="shared" si="6"/>
        <v>14.90064281311456</v>
      </c>
      <c r="F101" s="41">
        <f t="shared" si="7"/>
        <v>596.02571252458245</v>
      </c>
      <c r="G101" s="41">
        <f t="shared" si="8"/>
        <v>2950.622339230606</v>
      </c>
      <c r="H101" s="41">
        <f t="shared" si="9"/>
        <v>0.29506223392306058</v>
      </c>
      <c r="X101">
        <v>30</v>
      </c>
      <c r="Y101">
        <v>0.189</v>
      </c>
      <c r="Z101" s="41">
        <f t="shared" si="10"/>
        <v>0.23759453975281311</v>
      </c>
      <c r="AA101">
        <v>0.182</v>
      </c>
      <c r="AB101" s="34">
        <f t="shared" si="11"/>
        <v>9.3340712045748013</v>
      </c>
      <c r="AC101" s="41">
        <f t="shared" si="12"/>
        <v>373.36284818299202</v>
      </c>
      <c r="AD101" s="41">
        <f t="shared" si="13"/>
        <v>2051.4442207856705</v>
      </c>
      <c r="AE101" s="41">
        <f t="shared" si="14"/>
        <v>0.20514442207856703</v>
      </c>
      <c r="AO101" s="41">
        <v>30</v>
      </c>
      <c r="AP101">
        <v>0.19</v>
      </c>
      <c r="AQ101" s="41">
        <f t="shared" si="15"/>
        <v>0.25858876774326273</v>
      </c>
      <c r="AR101" s="41">
        <v>0.182</v>
      </c>
      <c r="AS101" s="34">
        <f t="shared" si="16"/>
        <v>10.158844447056749</v>
      </c>
      <c r="AT101" s="41">
        <f t="shared" si="17"/>
        <v>406.35377788226998</v>
      </c>
      <c r="AU101" s="41">
        <f t="shared" si="18"/>
        <v>2232.7130652871979</v>
      </c>
      <c r="AV101" s="41">
        <f t="shared" si="19"/>
        <v>0.22327130652871979</v>
      </c>
      <c r="BF101">
        <v>0.20514442207856703</v>
      </c>
      <c r="BG101">
        <v>0.22327130652871979</v>
      </c>
    </row>
    <row r="102" spans="1:59" x14ac:dyDescent="0.2">
      <c r="A102">
        <v>31</v>
      </c>
      <c r="B102">
        <v>0.27</v>
      </c>
      <c r="C102" s="41">
        <f t="shared" si="20"/>
        <v>0.4203821656050955</v>
      </c>
      <c r="D102" s="41">
        <v>0.17699999999999999</v>
      </c>
      <c r="E102" s="34">
        <f t="shared" si="6"/>
        <v>16.51501364877161</v>
      </c>
      <c r="F102" s="41">
        <f t="shared" si="7"/>
        <v>660.60054595086444</v>
      </c>
      <c r="G102" s="41">
        <f t="shared" si="8"/>
        <v>3732.2064742986695</v>
      </c>
      <c r="H102" s="41">
        <f t="shared" si="9"/>
        <v>0.37322064742986699</v>
      </c>
      <c r="X102">
        <v>31</v>
      </c>
      <c r="Y102">
        <v>0.20599999999999999</v>
      </c>
      <c r="Z102" s="41">
        <f t="shared" si="10"/>
        <v>0.26895406751521855</v>
      </c>
      <c r="AA102">
        <v>0.192</v>
      </c>
      <c r="AB102" s="34">
        <f t="shared" si="11"/>
        <v>10.566052652383586</v>
      </c>
      <c r="AC102" s="41">
        <f t="shared" si="12"/>
        <v>422.64210609534348</v>
      </c>
      <c r="AD102" s="41">
        <f t="shared" si="13"/>
        <v>2201.2609692465808</v>
      </c>
      <c r="AE102" s="41">
        <f t="shared" si="14"/>
        <v>0.22012609692465807</v>
      </c>
      <c r="AO102" s="41">
        <v>31</v>
      </c>
      <c r="AP102">
        <v>0.215</v>
      </c>
      <c r="AQ102" s="41">
        <f t="shared" si="15"/>
        <v>0.31001851470890762</v>
      </c>
      <c r="AR102" s="41">
        <v>0.192</v>
      </c>
      <c r="AS102" s="34">
        <f t="shared" si="16"/>
        <v>12.179298792135656</v>
      </c>
      <c r="AT102" s="41">
        <f t="shared" si="17"/>
        <v>487.17195168542622</v>
      </c>
      <c r="AU102" s="41">
        <f t="shared" si="18"/>
        <v>2537.3539150282613</v>
      </c>
      <c r="AV102" s="41">
        <f t="shared" si="19"/>
        <v>0.25373539150282615</v>
      </c>
      <c r="BF102">
        <v>0.22012609692465807</v>
      </c>
      <c r="BG102">
        <v>0.25373539150282615</v>
      </c>
    </row>
    <row r="103" spans="1:59" x14ac:dyDescent="0.2">
      <c r="A103">
        <v>32</v>
      </c>
      <c r="B103">
        <v>0.253</v>
      </c>
      <c r="C103" s="41">
        <f t="shared" si="20"/>
        <v>0.38545305116087936</v>
      </c>
      <c r="D103" s="41">
        <v>0.2</v>
      </c>
      <c r="E103" s="34">
        <f t="shared" si="6"/>
        <v>15.142798438463117</v>
      </c>
      <c r="F103" s="41">
        <f t="shared" si="7"/>
        <v>605.71193753852469</v>
      </c>
      <c r="G103" s="41">
        <f t="shared" si="8"/>
        <v>3028.5596876926234</v>
      </c>
      <c r="H103" s="41">
        <f t="shared" si="9"/>
        <v>0.3028559687692623</v>
      </c>
      <c r="X103">
        <v>32</v>
      </c>
      <c r="Y103">
        <v>0.17949999999999999</v>
      </c>
      <c r="Z103" s="41">
        <f t="shared" si="10"/>
        <v>0.22007009776793945</v>
      </c>
      <c r="AA103">
        <v>0.19600000000000001</v>
      </c>
      <c r="AB103" s="34">
        <f t="shared" si="11"/>
        <v>8.6456109837404789</v>
      </c>
      <c r="AC103" s="41">
        <f t="shared" si="12"/>
        <v>345.82443934961918</v>
      </c>
      <c r="AD103" s="41">
        <f t="shared" si="13"/>
        <v>1764.4104048449958</v>
      </c>
      <c r="AE103" s="41">
        <f t="shared" si="14"/>
        <v>0.17644104048449957</v>
      </c>
      <c r="AO103" s="41">
        <v>32</v>
      </c>
      <c r="AP103">
        <v>0.17899999999999999</v>
      </c>
      <c r="AQ103" s="41">
        <f t="shared" si="15"/>
        <v>0.23595967907837895</v>
      </c>
      <c r="AR103" s="41">
        <v>0.19600000000000001</v>
      </c>
      <c r="AS103" s="34">
        <f t="shared" si="16"/>
        <v>9.2698445352220293</v>
      </c>
      <c r="AT103" s="41">
        <f t="shared" si="17"/>
        <v>370.79378140888116</v>
      </c>
      <c r="AU103" s="41">
        <f t="shared" si="18"/>
        <v>1891.8050071881692</v>
      </c>
      <c r="AV103" s="41">
        <f t="shared" si="19"/>
        <v>0.1891805007188169</v>
      </c>
      <c r="BF103">
        <v>0.17644104048449957</v>
      </c>
      <c r="BG103">
        <v>0.1891805007188169</v>
      </c>
    </row>
    <row r="104" spans="1:59" x14ac:dyDescent="0.2">
      <c r="A104">
        <v>33</v>
      </c>
      <c r="B104">
        <v>0.32900000000000001</v>
      </c>
      <c r="C104" s="41">
        <f t="shared" si="20"/>
        <v>0.54160673926443392</v>
      </c>
      <c r="D104" s="41">
        <v>0.186</v>
      </c>
      <c r="E104" s="34">
        <f t="shared" si="6"/>
        <v>21.277407613959905</v>
      </c>
      <c r="F104" s="41">
        <f t="shared" si="7"/>
        <v>851.09630455839624</v>
      </c>
      <c r="G104" s="41">
        <f t="shared" si="8"/>
        <v>4575.786583647292</v>
      </c>
      <c r="H104" s="41">
        <f t="shared" si="9"/>
        <v>0.45757865836472922</v>
      </c>
      <c r="X104">
        <v>33</v>
      </c>
      <c r="Y104">
        <v>0.19750000000000001</v>
      </c>
      <c r="Z104" s="41">
        <f t="shared" si="10"/>
        <v>0.25327430363401587</v>
      </c>
      <c r="AA104">
        <v>0.17299999999999999</v>
      </c>
      <c r="AB104" s="34">
        <f t="shared" si="11"/>
        <v>9.9500619284791956</v>
      </c>
      <c r="AC104" s="41">
        <f t="shared" si="12"/>
        <v>398.00247713916781</v>
      </c>
      <c r="AD104" s="41">
        <f t="shared" si="13"/>
        <v>2300.5923534055946</v>
      </c>
      <c r="AE104" s="41">
        <f t="shared" si="14"/>
        <v>0.23005923534055944</v>
      </c>
      <c r="AO104" s="41">
        <v>33</v>
      </c>
      <c r="AP104">
        <v>0.19700000000000001</v>
      </c>
      <c r="AQ104" s="41">
        <f t="shared" si="15"/>
        <v>0.27298909689364331</v>
      </c>
      <c r="AR104" s="41">
        <v>0.17299999999999999</v>
      </c>
      <c r="AS104" s="34">
        <f t="shared" si="16"/>
        <v>10.724571663678844</v>
      </c>
      <c r="AT104" s="41">
        <f t="shared" si="17"/>
        <v>428.98286654715378</v>
      </c>
      <c r="AU104" s="41">
        <f t="shared" si="18"/>
        <v>2479.6697488274785</v>
      </c>
      <c r="AV104" s="41">
        <f t="shared" si="19"/>
        <v>0.24796697488274785</v>
      </c>
      <c r="BF104">
        <v>0.23005923534055944</v>
      </c>
      <c r="BG104">
        <v>0.24796697488274785</v>
      </c>
    </row>
    <row r="105" spans="1:59" x14ac:dyDescent="0.2">
      <c r="A105">
        <v>34</v>
      </c>
      <c r="B105">
        <v>0.247</v>
      </c>
      <c r="C105" s="41">
        <f t="shared" si="20"/>
        <v>0.37312512841586187</v>
      </c>
      <c r="D105" s="41">
        <v>0.192</v>
      </c>
      <c r="E105" s="34">
        <f t="shared" si="6"/>
        <v>14.658487187766001</v>
      </c>
      <c r="F105" s="41">
        <f t="shared" si="7"/>
        <v>586.33948751064008</v>
      </c>
      <c r="G105" s="41">
        <f t="shared" si="8"/>
        <v>3053.8514974512505</v>
      </c>
      <c r="H105" s="41">
        <f t="shared" si="9"/>
        <v>0.30538514974512504</v>
      </c>
      <c r="X105">
        <v>34</v>
      </c>
      <c r="Y105">
        <v>0.16500000000000001</v>
      </c>
      <c r="Z105" s="41">
        <f t="shared" si="10"/>
        <v>0.1933222652647113</v>
      </c>
      <c r="AA105">
        <v>0.182</v>
      </c>
      <c r="AB105" s="34">
        <f t="shared" si="11"/>
        <v>7.5948032782565154</v>
      </c>
      <c r="AC105" s="41">
        <f t="shared" si="12"/>
        <v>303.7921311302606</v>
      </c>
      <c r="AD105" s="41">
        <f t="shared" si="13"/>
        <v>1669.1875336827507</v>
      </c>
      <c r="AE105" s="41">
        <f t="shared" si="14"/>
        <v>0.16691875336827508</v>
      </c>
      <c r="AO105" s="41">
        <v>34</v>
      </c>
      <c r="AP105">
        <v>0.16700000000000001</v>
      </c>
      <c r="AQ105" s="41">
        <f t="shared" si="15"/>
        <v>0.2112734005348694</v>
      </c>
      <c r="AR105" s="41">
        <v>0.182</v>
      </c>
      <c r="AS105" s="34">
        <f t="shared" si="16"/>
        <v>8.3000264495841556</v>
      </c>
      <c r="AT105" s="41">
        <f t="shared" si="17"/>
        <v>332.0010579833662</v>
      </c>
      <c r="AU105" s="41">
        <f t="shared" si="18"/>
        <v>1824.1816372712428</v>
      </c>
      <c r="AV105" s="41">
        <f t="shared" si="19"/>
        <v>0.1824181637271243</v>
      </c>
      <c r="BF105">
        <v>0.16691875336827508</v>
      </c>
      <c r="BG105">
        <v>0.1824181637271243</v>
      </c>
    </row>
    <row r="106" spans="1:59" x14ac:dyDescent="0.2">
      <c r="A106">
        <v>35</v>
      </c>
      <c r="B106">
        <v>0.36849999999999999</v>
      </c>
      <c r="C106" s="41">
        <f t="shared" si="20"/>
        <v>0.62276556400246552</v>
      </c>
      <c r="D106" s="41">
        <v>0.2</v>
      </c>
      <c r="E106" s="34">
        <f t="shared" si="6"/>
        <v>24.465790014382574</v>
      </c>
      <c r="F106" s="41">
        <f t="shared" si="7"/>
        <v>978.63160057530297</v>
      </c>
      <c r="G106" s="41">
        <f t="shared" si="8"/>
        <v>4893.1580028765147</v>
      </c>
      <c r="H106" s="41">
        <f t="shared" si="9"/>
        <v>0.48931580028765148</v>
      </c>
      <c r="X106">
        <v>35</v>
      </c>
      <c r="Y106">
        <v>0.2205</v>
      </c>
      <c r="Z106" s="41">
        <f t="shared" si="10"/>
        <v>0.29570190001844676</v>
      </c>
      <c r="AA106">
        <v>0.2</v>
      </c>
      <c r="AB106" s="34">
        <f t="shared" si="11"/>
        <v>11.616860357867552</v>
      </c>
      <c r="AC106" s="41">
        <f t="shared" si="12"/>
        <v>464.67441431470206</v>
      </c>
      <c r="AD106" s="41">
        <f t="shared" si="13"/>
        <v>2323.3720715735103</v>
      </c>
      <c r="AE106" s="41">
        <f t="shared" si="14"/>
        <v>0.23233720715735104</v>
      </c>
      <c r="AO106" s="41">
        <v>35</v>
      </c>
      <c r="AP106">
        <v>0.223</v>
      </c>
      <c r="AQ106" s="41">
        <f t="shared" si="15"/>
        <v>0.32647603373791406</v>
      </c>
      <c r="AR106" s="41">
        <v>0.2</v>
      </c>
      <c r="AS106" s="34">
        <f t="shared" si="16"/>
        <v>12.825844182560909</v>
      </c>
      <c r="AT106" s="41">
        <f t="shared" si="17"/>
        <v>513.03376730243633</v>
      </c>
      <c r="AU106" s="41">
        <f t="shared" si="18"/>
        <v>2565.1688365121813</v>
      </c>
      <c r="AV106" s="41">
        <f t="shared" si="19"/>
        <v>0.25651688365121811</v>
      </c>
      <c r="BF106">
        <v>0.23233720715735104</v>
      </c>
      <c r="BG106">
        <v>0.25651688365121811</v>
      </c>
    </row>
    <row r="107" spans="1:59" x14ac:dyDescent="0.2">
      <c r="A107">
        <v>36</v>
      </c>
      <c r="B107">
        <v>0.22900000000000001</v>
      </c>
      <c r="C107" s="41">
        <f t="shared" si="20"/>
        <v>0.33614136018080959</v>
      </c>
      <c r="D107" s="41">
        <v>0.191</v>
      </c>
      <c r="E107" s="34">
        <f t="shared" si="6"/>
        <v>13.205553435674663</v>
      </c>
      <c r="F107" s="41">
        <f t="shared" si="7"/>
        <v>528.22213742698648</v>
      </c>
      <c r="G107" s="41">
        <f t="shared" si="8"/>
        <v>2765.5609289371018</v>
      </c>
      <c r="H107" s="41">
        <f t="shared" si="9"/>
        <v>0.27655609289371019</v>
      </c>
      <c r="X107">
        <v>36</v>
      </c>
      <c r="Y107">
        <v>0.14449999999999999</v>
      </c>
      <c r="Z107" s="41">
        <f t="shared" si="10"/>
        <v>0.15550636413945762</v>
      </c>
      <c r="AA107">
        <v>0.19400000000000001</v>
      </c>
      <c r="AB107" s="34">
        <f t="shared" si="11"/>
        <v>6.1091785911929781</v>
      </c>
      <c r="AC107" s="41">
        <f t="shared" si="12"/>
        <v>244.36714364771913</v>
      </c>
      <c r="AD107" s="41">
        <f t="shared" si="13"/>
        <v>1259.6244517923667</v>
      </c>
      <c r="AE107" s="41">
        <f t="shared" si="14"/>
        <v>0.12596244517923669</v>
      </c>
      <c r="AO107" s="41">
        <v>36</v>
      </c>
      <c r="AP107">
        <v>0.14399999999999999</v>
      </c>
      <c r="AQ107" s="41">
        <f t="shared" si="15"/>
        <v>0.16395803332647602</v>
      </c>
      <c r="AR107" s="41">
        <v>0.19400000000000001</v>
      </c>
      <c r="AS107" s="34">
        <f t="shared" si="16"/>
        <v>6.4412084521115576</v>
      </c>
      <c r="AT107" s="41">
        <f t="shared" si="17"/>
        <v>257.6483380844623</v>
      </c>
      <c r="AU107" s="41">
        <f t="shared" si="18"/>
        <v>1328.084216930218</v>
      </c>
      <c r="AV107" s="41">
        <f t="shared" si="19"/>
        <v>0.13280842169302179</v>
      </c>
      <c r="BF107">
        <v>0.12596244517923669</v>
      </c>
      <c r="BG107">
        <v>0.13280842169302179</v>
      </c>
    </row>
    <row r="108" spans="1:59" x14ac:dyDescent="0.2">
      <c r="A108">
        <v>37</v>
      </c>
      <c r="B108">
        <v>0.31950000000000001</v>
      </c>
      <c r="C108" s="41">
        <f t="shared" si="20"/>
        <v>0.52208752825148963</v>
      </c>
      <c r="D108" s="41">
        <v>0.20100000000000001</v>
      </c>
      <c r="E108" s="34">
        <f t="shared" si="6"/>
        <v>20.510581467022806</v>
      </c>
      <c r="F108" s="41">
        <f t="shared" si="7"/>
        <v>820.42325868091223</v>
      </c>
      <c r="G108" s="41">
        <f t="shared" si="8"/>
        <v>4081.707754631404</v>
      </c>
      <c r="H108" s="41">
        <f t="shared" si="9"/>
        <v>0.4081707754631404</v>
      </c>
      <c r="X108">
        <v>37</v>
      </c>
      <c r="Y108">
        <v>0.21</v>
      </c>
      <c r="Z108" s="41">
        <f t="shared" si="10"/>
        <v>0.27633277992990218</v>
      </c>
      <c r="AA108">
        <v>0.17799999999999999</v>
      </c>
      <c r="AB108" s="34">
        <f t="shared" si="11"/>
        <v>10.855930640103299</v>
      </c>
      <c r="AC108" s="41">
        <f t="shared" si="12"/>
        <v>434.23722560413194</v>
      </c>
      <c r="AD108" s="41">
        <f t="shared" si="13"/>
        <v>2439.5349753041123</v>
      </c>
      <c r="AE108" s="41">
        <f t="shared" si="14"/>
        <v>0.24395349753041118</v>
      </c>
      <c r="AO108" s="41">
        <v>37</v>
      </c>
      <c r="AP108">
        <v>0.21299999999999999</v>
      </c>
      <c r="AQ108" s="41">
        <f t="shared" si="15"/>
        <v>0.30590413495165603</v>
      </c>
      <c r="AR108" s="41">
        <v>0.17799999999999999</v>
      </c>
      <c r="AS108" s="34">
        <f t="shared" si="16"/>
        <v>12.017662444529343</v>
      </c>
      <c r="AT108" s="41">
        <f t="shared" si="17"/>
        <v>480.70649778117371</v>
      </c>
      <c r="AU108" s="41">
        <f t="shared" si="18"/>
        <v>2700.5983021414254</v>
      </c>
      <c r="AV108" s="41">
        <f t="shared" si="19"/>
        <v>0.27005983021414254</v>
      </c>
      <c r="BF108">
        <v>0.24395349753041118</v>
      </c>
      <c r="BG108">
        <v>0.27005983021414254</v>
      </c>
    </row>
    <row r="109" spans="1:59" x14ac:dyDescent="0.2">
      <c r="A109">
        <v>38</v>
      </c>
      <c r="B109">
        <v>0.2225</v>
      </c>
      <c r="C109" s="41">
        <f t="shared" si="20"/>
        <v>0.32278611054037398</v>
      </c>
      <c r="D109" s="41">
        <v>0.17899999999999999</v>
      </c>
      <c r="E109" s="34">
        <f t="shared" si="6"/>
        <v>12.680882914086121</v>
      </c>
      <c r="F109" s="41">
        <f t="shared" si="7"/>
        <v>507.23531656344483</v>
      </c>
      <c r="G109" s="41">
        <f t="shared" si="8"/>
        <v>2833.7168523097475</v>
      </c>
      <c r="H109" s="41">
        <f t="shared" si="9"/>
        <v>0.28337168523097478</v>
      </c>
      <c r="X109">
        <v>38</v>
      </c>
      <c r="Y109">
        <v>0.1825</v>
      </c>
      <c r="Z109" s="41">
        <f t="shared" si="10"/>
        <v>0.22560413207895219</v>
      </c>
      <c r="AA109">
        <v>0.18</v>
      </c>
      <c r="AB109" s="34">
        <f t="shared" si="11"/>
        <v>8.8630194745302653</v>
      </c>
      <c r="AC109" s="41">
        <f t="shared" si="12"/>
        <v>354.52077898121058</v>
      </c>
      <c r="AD109" s="41">
        <f t="shared" si="13"/>
        <v>1969.5598832289477</v>
      </c>
      <c r="AE109" s="41">
        <f t="shared" si="14"/>
        <v>0.19695598832289479</v>
      </c>
      <c r="AO109" s="41">
        <v>38</v>
      </c>
      <c r="AP109">
        <v>0.189</v>
      </c>
      <c r="AQ109" s="41">
        <f t="shared" si="15"/>
        <v>0.25653157786463693</v>
      </c>
      <c r="AR109" s="41">
        <v>0.18</v>
      </c>
      <c r="AS109" s="34">
        <f t="shared" si="16"/>
        <v>10.078026273253593</v>
      </c>
      <c r="AT109" s="41">
        <f t="shared" si="17"/>
        <v>403.12105093014372</v>
      </c>
      <c r="AU109" s="41">
        <f t="shared" si="18"/>
        <v>2239.5613940563539</v>
      </c>
      <c r="AV109" s="41">
        <f t="shared" si="19"/>
        <v>0.22395613940563541</v>
      </c>
      <c r="BF109">
        <v>0.19695598832289479</v>
      </c>
      <c r="BG109">
        <v>0.22395613940563541</v>
      </c>
    </row>
    <row r="110" spans="1:59" x14ac:dyDescent="0.2">
      <c r="A110">
        <v>39</v>
      </c>
      <c r="B110">
        <v>0.3745</v>
      </c>
      <c r="C110" s="41">
        <f t="shared" si="20"/>
        <v>0.635093486747483</v>
      </c>
      <c r="D110" s="41">
        <v>0.193</v>
      </c>
      <c r="E110" s="34">
        <f t="shared" si="6"/>
        <v>24.950101265079688</v>
      </c>
      <c r="F110" s="41">
        <f t="shared" si="7"/>
        <v>998.00405060318758</v>
      </c>
      <c r="G110" s="41">
        <f t="shared" si="8"/>
        <v>5171.0054435398315</v>
      </c>
      <c r="H110" s="41">
        <f t="shared" si="9"/>
        <v>0.51710054435398312</v>
      </c>
      <c r="X110">
        <v>39</v>
      </c>
      <c r="Y110">
        <v>0.20649999999999999</v>
      </c>
      <c r="Z110" s="41">
        <f t="shared" si="10"/>
        <v>0.26987640656705403</v>
      </c>
      <c r="AA110">
        <v>0.189</v>
      </c>
      <c r="AB110" s="34">
        <f t="shared" si="11"/>
        <v>10.602287400848551</v>
      </c>
      <c r="AC110" s="41">
        <f t="shared" si="12"/>
        <v>424.09149603394206</v>
      </c>
      <c r="AD110" s="41">
        <f t="shared" si="13"/>
        <v>2243.8703493859366</v>
      </c>
      <c r="AE110" s="41">
        <f t="shared" si="14"/>
        <v>0.22438703493859372</v>
      </c>
      <c r="AO110" s="41">
        <v>39</v>
      </c>
      <c r="AP110">
        <v>0.214</v>
      </c>
      <c r="AQ110" s="41">
        <f t="shared" si="15"/>
        <v>0.30796132483028182</v>
      </c>
      <c r="AR110" s="41">
        <v>0.189</v>
      </c>
      <c r="AS110" s="34">
        <f t="shared" si="16"/>
        <v>12.0984806183325</v>
      </c>
      <c r="AT110" s="41">
        <f t="shared" si="17"/>
        <v>483.93922473330002</v>
      </c>
      <c r="AU110" s="41">
        <f t="shared" si="18"/>
        <v>2560.524998588889</v>
      </c>
      <c r="AV110" s="41">
        <f t="shared" si="19"/>
        <v>0.25605249985888889</v>
      </c>
      <c r="BF110">
        <v>0.22438703493859372</v>
      </c>
      <c r="BG110">
        <v>0.25605249985888889</v>
      </c>
    </row>
    <row r="111" spans="1:59" x14ac:dyDescent="0.2">
      <c r="A111">
        <v>40</v>
      </c>
      <c r="B111">
        <v>0.28799999999999998</v>
      </c>
      <c r="C111" s="41">
        <f t="shared" si="20"/>
        <v>0.45736593384014784</v>
      </c>
      <c r="D111" s="41">
        <v>0.20499999999999999</v>
      </c>
      <c r="E111" s="34">
        <f t="shared" si="6"/>
        <v>17.967947400862951</v>
      </c>
      <c r="F111" s="41">
        <f t="shared" si="7"/>
        <v>718.71789603451805</v>
      </c>
      <c r="G111" s="41">
        <f t="shared" si="8"/>
        <v>3505.9409562659421</v>
      </c>
      <c r="H111" s="41">
        <f t="shared" si="9"/>
        <v>0.35059409562659422</v>
      </c>
      <c r="X111">
        <v>40</v>
      </c>
      <c r="Y111">
        <v>0.2495</v>
      </c>
      <c r="Z111" s="41">
        <f t="shared" si="10"/>
        <v>0.34919756502490312</v>
      </c>
      <c r="AA111">
        <v>0.191</v>
      </c>
      <c r="AB111" s="34">
        <f t="shared" si="11"/>
        <v>13.718475768835479</v>
      </c>
      <c r="AC111" s="41">
        <f>AB111*25</f>
        <v>342.96189422088696</v>
      </c>
      <c r="AD111" s="41">
        <f t="shared" si="13"/>
        <v>1795.6120116276804</v>
      </c>
      <c r="AE111" s="41">
        <f t="shared" si="14"/>
        <v>0.17956120116276805</v>
      </c>
      <c r="AO111" s="41">
        <v>40</v>
      </c>
      <c r="AP111">
        <v>0.25600000000000001</v>
      </c>
      <c r="AQ111" s="41">
        <f t="shared" si="15"/>
        <v>0.39436329973256534</v>
      </c>
      <c r="AR111" s="41">
        <v>0.191</v>
      </c>
      <c r="AS111" s="34">
        <f t="shared" si="16"/>
        <v>15.492843918065066</v>
      </c>
      <c r="AT111" s="41">
        <f>AS111*25</f>
        <v>387.32109795162665</v>
      </c>
      <c r="AU111" s="41">
        <f t="shared" si="18"/>
        <v>2027.859151579197</v>
      </c>
      <c r="AV111" s="41">
        <f t="shared" si="19"/>
        <v>0.20278591515791972</v>
      </c>
      <c r="BF111">
        <v>0.17956120116276805</v>
      </c>
      <c r="BG111">
        <v>0.20278591515791972</v>
      </c>
    </row>
    <row r="112" spans="1:59" x14ac:dyDescent="0.2">
      <c r="A112">
        <v>41</v>
      </c>
      <c r="B112">
        <v>0.34300000000000003</v>
      </c>
      <c r="C112" s="41">
        <f t="shared" si="20"/>
        <v>0.57037189233614138</v>
      </c>
      <c r="D112" s="41">
        <v>0.19700000000000001</v>
      </c>
      <c r="E112" s="34">
        <f t="shared" si="6"/>
        <v>22.407467198919839</v>
      </c>
      <c r="F112" s="41">
        <f t="shared" si="7"/>
        <v>896.29868795679363</v>
      </c>
      <c r="G112" s="41">
        <f t="shared" si="8"/>
        <v>4549.7395327756021</v>
      </c>
      <c r="H112" s="41">
        <f t="shared" si="9"/>
        <v>0.45497395327756018</v>
      </c>
      <c r="X112">
        <v>41</v>
      </c>
      <c r="Y112">
        <v>0.189</v>
      </c>
      <c r="Z112" s="41">
        <f t="shared" si="10"/>
        <v>0.23759453975281311</v>
      </c>
      <c r="AA112">
        <v>0.17100000000000001</v>
      </c>
      <c r="AB112" s="34">
        <f t="shared" si="11"/>
        <v>9.3340712045748013</v>
      </c>
      <c r="AC112" s="41">
        <f t="shared" si="12"/>
        <v>373.36284818299202</v>
      </c>
      <c r="AD112" s="41">
        <f t="shared" si="13"/>
        <v>2183.4084689063861</v>
      </c>
      <c r="AE112" s="41">
        <f t="shared" si="14"/>
        <v>0.2183408468906386</v>
      </c>
      <c r="AO112" s="41">
        <v>41</v>
      </c>
      <c r="AP112">
        <v>0.192</v>
      </c>
      <c r="AQ112" s="41">
        <f t="shared" si="15"/>
        <v>0.26270314750051432</v>
      </c>
      <c r="AR112" s="41">
        <v>0.17100000000000001</v>
      </c>
      <c r="AS112" s="34">
        <f t="shared" si="16"/>
        <v>10.320480794663062</v>
      </c>
      <c r="AT112" s="41">
        <f t="shared" ref="AT112:AT116" si="21">AS112*40</f>
        <v>412.81923178652249</v>
      </c>
      <c r="AU112" s="41">
        <f t="shared" si="18"/>
        <v>2414.1475543071488</v>
      </c>
      <c r="AV112" s="41">
        <f t="shared" si="19"/>
        <v>0.24141475543071489</v>
      </c>
      <c r="BF112">
        <v>0.2183408468906386</v>
      </c>
      <c r="BG112">
        <v>0.24141475543071489</v>
      </c>
    </row>
    <row r="113" spans="1:59" x14ac:dyDescent="0.2">
      <c r="A113">
        <v>42</v>
      </c>
      <c r="B113">
        <v>0.2235</v>
      </c>
      <c r="C113" s="41">
        <f t="shared" si="20"/>
        <v>0.32484076433121023</v>
      </c>
      <c r="D113" s="41">
        <v>0.17499999999999999</v>
      </c>
      <c r="E113" s="34">
        <f t="shared" si="6"/>
        <v>12.761601455868973</v>
      </c>
      <c r="F113" s="41">
        <f t="shared" si="7"/>
        <v>510.46405823475891</v>
      </c>
      <c r="G113" s="41">
        <f t="shared" si="8"/>
        <v>2916.9374756271941</v>
      </c>
      <c r="H113" s="41">
        <f t="shared" si="9"/>
        <v>0.29169374756271937</v>
      </c>
      <c r="X113">
        <v>42</v>
      </c>
      <c r="Y113">
        <v>0.189</v>
      </c>
      <c r="Z113" s="41">
        <f t="shared" si="10"/>
        <v>0.23759453975281311</v>
      </c>
      <c r="AA113">
        <v>0.183</v>
      </c>
      <c r="AB113" s="34">
        <f t="shared" si="11"/>
        <v>9.3340712045748013</v>
      </c>
      <c r="AC113" s="41">
        <f t="shared" si="12"/>
        <v>373.36284818299202</v>
      </c>
      <c r="AD113" s="41">
        <f t="shared" si="13"/>
        <v>2040.2341430764593</v>
      </c>
      <c r="AE113" s="41">
        <f t="shared" si="14"/>
        <v>0.20402341430764592</v>
      </c>
      <c r="AO113" s="41">
        <v>42</v>
      </c>
      <c r="AP113">
        <v>0.19500000000000001</v>
      </c>
      <c r="AQ113" s="41">
        <f t="shared" si="15"/>
        <v>0.26887471713639172</v>
      </c>
      <c r="AR113" s="41">
        <v>0.183</v>
      </c>
      <c r="AS113" s="34">
        <f t="shared" si="16"/>
        <v>10.562935316072531</v>
      </c>
      <c r="AT113" s="41">
        <f t="shared" si="21"/>
        <v>422.51741264290126</v>
      </c>
      <c r="AU113" s="41">
        <f t="shared" si="18"/>
        <v>2308.8383204530123</v>
      </c>
      <c r="AV113" s="41">
        <f t="shared" si="19"/>
        <v>0.23088383204530125</v>
      </c>
      <c r="BF113">
        <v>0.20402341430764592</v>
      </c>
      <c r="BG113">
        <v>0.23088383204530125</v>
      </c>
    </row>
    <row r="114" spans="1:59" x14ac:dyDescent="0.2">
      <c r="A114">
        <v>43</v>
      </c>
      <c r="B114">
        <v>0.255</v>
      </c>
      <c r="C114" s="41">
        <f t="shared" si="20"/>
        <v>0.38956235874255185</v>
      </c>
      <c r="D114" s="41">
        <v>0.19500000000000001</v>
      </c>
      <c r="E114" s="34">
        <f t="shared" si="6"/>
        <v>15.304235522028822</v>
      </c>
      <c r="F114" s="41">
        <f t="shared" si="7"/>
        <v>612.16942088115286</v>
      </c>
      <c r="G114" s="41">
        <f t="shared" si="8"/>
        <v>3139.3303634930917</v>
      </c>
      <c r="H114" s="41">
        <f t="shared" si="9"/>
        <v>0.31393303634930914</v>
      </c>
      <c r="X114">
        <v>43</v>
      </c>
      <c r="Y114">
        <v>0.20599999999999999</v>
      </c>
      <c r="Z114" s="41">
        <f t="shared" si="10"/>
        <v>0.26895406751521855</v>
      </c>
      <c r="AA114">
        <v>0.17199999999999999</v>
      </c>
      <c r="AB114" s="34">
        <f t="shared" si="11"/>
        <v>10.566052652383586</v>
      </c>
      <c r="AC114" s="41">
        <f t="shared" si="12"/>
        <v>422.64210609534348</v>
      </c>
      <c r="AD114" s="41">
        <f t="shared" si="13"/>
        <v>2457.2215470659507</v>
      </c>
      <c r="AE114" s="41">
        <f t="shared" si="14"/>
        <v>0.24572215470659506</v>
      </c>
      <c r="AO114" s="41">
        <v>43</v>
      </c>
      <c r="AP114">
        <v>0.20300000000000001</v>
      </c>
      <c r="AQ114" s="41">
        <f t="shared" si="15"/>
        <v>0.2853322361653981</v>
      </c>
      <c r="AR114" s="41">
        <v>0.17199999999999999</v>
      </c>
      <c r="AS114" s="34">
        <f t="shared" si="16"/>
        <v>11.209480706497782</v>
      </c>
      <c r="AT114" s="41">
        <f t="shared" si="21"/>
        <v>448.37922825991132</v>
      </c>
      <c r="AU114" s="41">
        <f t="shared" si="18"/>
        <v>2606.8559782552984</v>
      </c>
      <c r="AV114" s="41">
        <f t="shared" si="19"/>
        <v>0.26068559782552986</v>
      </c>
      <c r="BF114">
        <v>0.24572215470659506</v>
      </c>
      <c r="BG114">
        <v>0.26068559782552986</v>
      </c>
    </row>
    <row r="115" spans="1:59" x14ac:dyDescent="0.2">
      <c r="A115">
        <v>44</v>
      </c>
      <c r="B115">
        <v>0.253</v>
      </c>
      <c r="C115" s="41">
        <f t="shared" si="20"/>
        <v>0.38545305116087936</v>
      </c>
      <c r="D115" s="41">
        <v>0.20799999999999999</v>
      </c>
      <c r="E115" s="34">
        <f t="shared" si="6"/>
        <v>15.142798438463117</v>
      </c>
      <c r="F115" s="41">
        <f t="shared" si="7"/>
        <v>605.71193753852469</v>
      </c>
      <c r="G115" s="41">
        <f t="shared" si="8"/>
        <v>2912.0766227813688</v>
      </c>
      <c r="H115" s="41">
        <f t="shared" si="9"/>
        <v>0.29120766227813688</v>
      </c>
      <c r="X115">
        <v>44</v>
      </c>
      <c r="Y115">
        <v>0.16350000000000001</v>
      </c>
      <c r="Z115" s="41">
        <f t="shared" si="10"/>
        <v>0.19055524810920493</v>
      </c>
      <c r="AA115">
        <v>0.19400000000000001</v>
      </c>
      <c r="AB115" s="34">
        <f t="shared" si="11"/>
        <v>7.4860990328616221</v>
      </c>
      <c r="AC115" s="41">
        <f t="shared" si="12"/>
        <v>299.4439613144649</v>
      </c>
      <c r="AD115" s="41">
        <f t="shared" si="13"/>
        <v>1543.5255737859015</v>
      </c>
      <c r="AE115" s="41">
        <f t="shared" si="14"/>
        <v>0.15435255737859016</v>
      </c>
      <c r="AO115" s="41">
        <v>44</v>
      </c>
      <c r="AP115">
        <v>0.16400000000000001</v>
      </c>
      <c r="AQ115" s="41">
        <f t="shared" si="15"/>
        <v>0.205101830898992</v>
      </c>
      <c r="AR115" s="41">
        <v>0.19400000000000001</v>
      </c>
      <c r="AS115" s="34">
        <f t="shared" si="16"/>
        <v>8.0575719281746849</v>
      </c>
      <c r="AT115" s="41">
        <f t="shared" si="21"/>
        <v>322.30287712698737</v>
      </c>
      <c r="AU115" s="41">
        <f t="shared" si="18"/>
        <v>1661.3550367370483</v>
      </c>
      <c r="AV115" s="41">
        <f t="shared" si="19"/>
        <v>0.16613550367370483</v>
      </c>
      <c r="BF115">
        <v>0.15435255737859016</v>
      </c>
      <c r="BG115">
        <v>0.16613550367370483</v>
      </c>
    </row>
    <row r="116" spans="1:59" x14ac:dyDescent="0.2">
      <c r="A116">
        <v>45</v>
      </c>
      <c r="B116">
        <v>0.33250000000000002</v>
      </c>
      <c r="C116" s="41">
        <f t="shared" si="20"/>
        <v>0.54879802753236073</v>
      </c>
      <c r="D116" s="41">
        <v>0.19800000000000001</v>
      </c>
      <c r="E116" s="34">
        <f t="shared" si="6"/>
        <v>21.559922510199886</v>
      </c>
      <c r="F116" s="41">
        <f t="shared" si="7"/>
        <v>862.39690040799542</v>
      </c>
      <c r="G116" s="41">
        <f t="shared" si="8"/>
        <v>4355.5399010504816</v>
      </c>
      <c r="H116" s="41">
        <f t="shared" si="9"/>
        <v>0.43555399010504819</v>
      </c>
      <c r="X116">
        <v>45</v>
      </c>
      <c r="Y116">
        <v>0.20899999999999999</v>
      </c>
      <c r="Z116" s="41">
        <f t="shared" si="10"/>
        <v>0.27448810182623129</v>
      </c>
      <c r="AA116">
        <v>0.19600000000000001</v>
      </c>
      <c r="AB116" s="34">
        <f t="shared" si="11"/>
        <v>10.783461143173373</v>
      </c>
      <c r="AC116" s="41">
        <f t="shared" si="12"/>
        <v>431.33844572693488</v>
      </c>
      <c r="AD116" s="41">
        <f t="shared" si="13"/>
        <v>2200.7063557496676</v>
      </c>
      <c r="AE116" s="41">
        <f t="shared" si="14"/>
        <v>0.22007063557496678</v>
      </c>
      <c r="AO116" s="41">
        <v>45</v>
      </c>
      <c r="AP116">
        <v>0.20899999999999999</v>
      </c>
      <c r="AQ116" s="41">
        <f t="shared" si="15"/>
        <v>0.29767537543715283</v>
      </c>
      <c r="AR116" s="41">
        <v>0.19600000000000001</v>
      </c>
      <c r="AS116" s="34">
        <f t="shared" si="16"/>
        <v>11.694389749316718</v>
      </c>
      <c r="AT116" s="41">
        <f t="shared" si="21"/>
        <v>467.77558997266874</v>
      </c>
      <c r="AU116" s="41">
        <f t="shared" si="18"/>
        <v>2386.610152921779</v>
      </c>
      <c r="AV116" s="41">
        <f t="shared" si="19"/>
        <v>0.2386610152921779</v>
      </c>
      <c r="BF116">
        <v>0.22007063557496678</v>
      </c>
      <c r="BG116">
        <v>0.2386610152921779</v>
      </c>
    </row>
    <row r="117" spans="1:59" x14ac:dyDescent="0.2">
      <c r="A117">
        <v>46</v>
      </c>
      <c r="B117">
        <v>0.26850000000000002</v>
      </c>
      <c r="C117" s="41">
        <f t="shared" si="20"/>
        <v>0.41730018491884119</v>
      </c>
      <c r="D117" s="41">
        <v>0.188</v>
      </c>
      <c r="E117" s="34">
        <f t="shared" si="6"/>
        <v>16.393935836097331</v>
      </c>
      <c r="F117" s="41">
        <f t="shared" si="7"/>
        <v>655.75743344389321</v>
      </c>
      <c r="G117" s="41">
        <f t="shared" si="8"/>
        <v>3488.0714544887937</v>
      </c>
      <c r="H117" s="41">
        <f t="shared" si="9"/>
        <v>0.34880714544887936</v>
      </c>
      <c r="X117">
        <v>46</v>
      </c>
      <c r="Y117">
        <v>0.2475</v>
      </c>
      <c r="Z117" s="41">
        <f t="shared" si="10"/>
        <v>0.34550820881756134</v>
      </c>
      <c r="AA117">
        <v>0.19</v>
      </c>
      <c r="AB117" s="34">
        <f t="shared" si="11"/>
        <v>13.573536774975624</v>
      </c>
      <c r="AC117" s="41">
        <f>AB117*25</f>
        <v>339.33841937439058</v>
      </c>
      <c r="AD117" s="41">
        <f t="shared" si="13"/>
        <v>1785.9916809178451</v>
      </c>
      <c r="AE117" s="41">
        <f t="shared" si="14"/>
        <v>0.1785991680917845</v>
      </c>
      <c r="AO117" s="41">
        <v>46</v>
      </c>
      <c r="AP117">
        <v>0.25</v>
      </c>
      <c r="AQ117" s="41">
        <f t="shared" si="15"/>
        <v>0.38202016046081055</v>
      </c>
      <c r="AR117" s="41">
        <v>0.19</v>
      </c>
      <c r="AS117" s="34">
        <f t="shared" si="16"/>
        <v>15.007934875246129</v>
      </c>
      <c r="AT117" s="41">
        <f>AS117*25</f>
        <v>375.19837188115321</v>
      </c>
      <c r="AU117" s="41">
        <f t="shared" si="18"/>
        <v>1974.728273058701</v>
      </c>
      <c r="AV117" s="41">
        <f t="shared" si="19"/>
        <v>0.1974728273058701</v>
      </c>
      <c r="BF117">
        <v>0.1785991680917845</v>
      </c>
      <c r="BG117">
        <v>0.1974728273058701</v>
      </c>
    </row>
    <row r="118" spans="1:59" x14ac:dyDescent="0.2">
      <c r="A118">
        <v>47</v>
      </c>
      <c r="B118">
        <v>0.31850000000000001</v>
      </c>
      <c r="C118" s="41">
        <f t="shared" si="20"/>
        <v>0.52003287446065338</v>
      </c>
      <c r="D118" s="41">
        <v>0.184</v>
      </c>
      <c r="E118" s="34">
        <f t="shared" si="6"/>
        <v>20.429862925239952</v>
      </c>
      <c r="F118" s="41">
        <f t="shared" si="7"/>
        <v>817.19451700959803</v>
      </c>
      <c r="G118" s="41">
        <f t="shared" si="8"/>
        <v>4441.274548965207</v>
      </c>
      <c r="H118" s="41">
        <f t="shared" si="9"/>
        <v>0.44412745489652067</v>
      </c>
      <c r="X118">
        <v>47</v>
      </c>
      <c r="Y118">
        <v>0.28299999999999997</v>
      </c>
      <c r="Z118" s="41">
        <f t="shared" si="10"/>
        <v>0.41099428149787853</v>
      </c>
      <c r="AA118">
        <v>0.191</v>
      </c>
      <c r="AB118" s="34">
        <f t="shared" si="11"/>
        <v>16.146203915988085</v>
      </c>
      <c r="AC118" s="41">
        <f>AB118*25</f>
        <v>403.65509789970213</v>
      </c>
      <c r="AD118" s="41">
        <f t="shared" si="13"/>
        <v>2113.3774759146709</v>
      </c>
      <c r="AE118" s="41">
        <f t="shared" si="14"/>
        <v>0.21133774759146706</v>
      </c>
      <c r="AO118" s="41">
        <v>47</v>
      </c>
      <c r="AP118">
        <v>0.29799999999999999</v>
      </c>
      <c r="AQ118" s="41">
        <f t="shared" si="15"/>
        <v>0.4807652746348488</v>
      </c>
      <c r="AR118" s="41">
        <v>0.191</v>
      </c>
      <c r="AS118" s="34">
        <f t="shared" si="16"/>
        <v>18.887207217797631</v>
      </c>
      <c r="AT118" s="41">
        <f>AS118*25</f>
        <v>472.18018044494079</v>
      </c>
      <c r="AU118" s="41">
        <f t="shared" si="18"/>
        <v>2472.1475415965488</v>
      </c>
      <c r="AV118" s="41">
        <f t="shared" si="19"/>
        <v>0.24721475415965485</v>
      </c>
      <c r="BF118">
        <v>0.21133774759146706</v>
      </c>
      <c r="BG118">
        <v>0.24721475415965485</v>
      </c>
    </row>
    <row r="119" spans="1:59" x14ac:dyDescent="0.2">
      <c r="A119">
        <v>48</v>
      </c>
      <c r="B119">
        <v>0.28649999999999998</v>
      </c>
      <c r="C119" s="41">
        <f t="shared" si="20"/>
        <v>0.45428395315389347</v>
      </c>
      <c r="D119" s="41">
        <v>0.20399999999999999</v>
      </c>
      <c r="E119" s="34">
        <f t="shared" si="6"/>
        <v>17.846869588188671</v>
      </c>
      <c r="F119" s="41">
        <f t="shared" si="7"/>
        <v>713.87478352754681</v>
      </c>
      <c r="G119" s="41">
        <f t="shared" si="8"/>
        <v>3499.3861937624847</v>
      </c>
      <c r="H119" s="41">
        <f t="shared" si="9"/>
        <v>0.34993861937624848</v>
      </c>
      <c r="X119">
        <v>48</v>
      </c>
      <c r="Y119">
        <v>0.20699999999999999</v>
      </c>
      <c r="Z119" s="41">
        <f t="shared" si="10"/>
        <v>0.27079874561888945</v>
      </c>
      <c r="AA119">
        <v>0.20200000000000001</v>
      </c>
      <c r="AB119" s="34">
        <f t="shared" si="11"/>
        <v>10.638522149313514</v>
      </c>
      <c r="AC119" s="41">
        <f>AB119*25</f>
        <v>265.96305373283786</v>
      </c>
      <c r="AD119" s="41">
        <f t="shared" si="13"/>
        <v>1316.6487808556328</v>
      </c>
      <c r="AE119" s="41">
        <f t="shared" si="14"/>
        <v>0.13166487808556329</v>
      </c>
      <c r="AO119" s="41">
        <v>48</v>
      </c>
      <c r="AP119">
        <v>0.21199999999999999</v>
      </c>
      <c r="AQ119" s="41">
        <f t="shared" si="15"/>
        <v>0.30384694507303023</v>
      </c>
      <c r="AR119" s="41">
        <v>0.20200000000000001</v>
      </c>
      <c r="AS119" s="34">
        <f t="shared" si="16"/>
        <v>11.936844270726187</v>
      </c>
      <c r="AT119" s="41">
        <f>AS119*25</f>
        <v>298.42110676815469</v>
      </c>
      <c r="AU119" s="41">
        <f t="shared" si="18"/>
        <v>1477.332211723538</v>
      </c>
      <c r="AV119" s="41">
        <f t="shared" si="19"/>
        <v>0.1477332211723538</v>
      </c>
      <c r="BF119">
        <v>0.13166487808556329</v>
      </c>
      <c r="BG119">
        <v>0.1477332211723538</v>
      </c>
    </row>
    <row r="120" spans="1:59" x14ac:dyDescent="0.2">
      <c r="A120">
        <v>49</v>
      </c>
      <c r="B120">
        <v>0.33150000000000002</v>
      </c>
      <c r="C120" s="41">
        <f t="shared" si="20"/>
        <v>0.54674337374152449</v>
      </c>
      <c r="D120" s="41">
        <v>0.189</v>
      </c>
      <c r="E120" s="34">
        <f t="shared" si="6"/>
        <v>21.479203968417032</v>
      </c>
      <c r="F120" s="41">
        <f t="shared" si="7"/>
        <v>859.16815873668133</v>
      </c>
      <c r="G120" s="41">
        <f t="shared" si="8"/>
        <v>4545.8632737390544</v>
      </c>
      <c r="H120" s="41">
        <f t="shared" si="9"/>
        <v>0.45458632737390547</v>
      </c>
      <c r="X120">
        <v>49</v>
      </c>
      <c r="Y120">
        <v>0.20549999999999999</v>
      </c>
      <c r="Z120" s="41">
        <f t="shared" si="10"/>
        <v>0.26803172846338308</v>
      </c>
      <c r="AA120">
        <v>0.19600000000000001</v>
      </c>
      <c r="AB120" s="34">
        <f t="shared" si="11"/>
        <v>10.529817903918621</v>
      </c>
      <c r="AC120" s="41">
        <f t="shared" si="12"/>
        <v>421.19271615674484</v>
      </c>
      <c r="AD120" s="41">
        <f t="shared" si="13"/>
        <v>2148.9424293711472</v>
      </c>
      <c r="AE120" s="41">
        <f t="shared" si="14"/>
        <v>0.21489424293711473</v>
      </c>
      <c r="AO120" s="41">
        <v>49</v>
      </c>
      <c r="AP120">
        <v>0.21299999999999999</v>
      </c>
      <c r="AQ120" s="41">
        <f t="shared" si="15"/>
        <v>0.30590413495165603</v>
      </c>
      <c r="AR120" s="41">
        <v>0.19600000000000001</v>
      </c>
      <c r="AS120" s="34">
        <f t="shared" si="16"/>
        <v>12.017662444529343</v>
      </c>
      <c r="AT120" s="41">
        <f t="shared" ref="AT120:AT131" si="22">AS120*40</f>
        <v>480.70649778117371</v>
      </c>
      <c r="AU120" s="41">
        <f t="shared" si="18"/>
        <v>2452.584172352927</v>
      </c>
      <c r="AV120" s="41">
        <f t="shared" si="19"/>
        <v>0.24525841723529268</v>
      </c>
      <c r="BF120">
        <v>0.21489424293711473</v>
      </c>
      <c r="BG120">
        <v>0.24525841723529268</v>
      </c>
    </row>
    <row r="121" spans="1:59" x14ac:dyDescent="0.2">
      <c r="A121">
        <v>50</v>
      </c>
      <c r="B121">
        <v>0.23749999999999999</v>
      </c>
      <c r="C121" s="41">
        <f t="shared" si="20"/>
        <v>0.35360591740291752</v>
      </c>
      <c r="D121" s="41">
        <v>0.20399999999999999</v>
      </c>
      <c r="E121" s="34">
        <f t="shared" si="6"/>
        <v>13.891661040828902</v>
      </c>
      <c r="F121" s="41">
        <f t="shared" si="7"/>
        <v>555.66644163315607</v>
      </c>
      <c r="G121" s="41">
        <f t="shared" si="8"/>
        <v>2723.8551060448831</v>
      </c>
      <c r="H121" s="41">
        <f t="shared" si="9"/>
        <v>0.27238551060448829</v>
      </c>
      <c r="X121">
        <v>50</v>
      </c>
      <c r="Y121">
        <v>0.16850000000000001</v>
      </c>
      <c r="Z121" s="41">
        <f t="shared" si="10"/>
        <v>0.19977863862755948</v>
      </c>
      <c r="AA121">
        <v>0.19</v>
      </c>
      <c r="AB121" s="34">
        <f t="shared" si="11"/>
        <v>7.848446517511265</v>
      </c>
      <c r="AC121" s="41">
        <f t="shared" si="12"/>
        <v>313.93786070045059</v>
      </c>
      <c r="AD121" s="41">
        <f t="shared" si="13"/>
        <v>1652.3045300023714</v>
      </c>
      <c r="AE121" s="41">
        <f t="shared" si="14"/>
        <v>0.16523045300023717</v>
      </c>
      <c r="AO121" s="41">
        <v>50</v>
      </c>
      <c r="AP121">
        <v>0.17199999999999999</v>
      </c>
      <c r="AQ121" s="41">
        <f t="shared" si="15"/>
        <v>0.22155934992799833</v>
      </c>
      <c r="AR121" s="41">
        <v>0.19</v>
      </c>
      <c r="AS121" s="34">
        <f t="shared" si="16"/>
        <v>8.7041173185999341</v>
      </c>
      <c r="AT121" s="41">
        <f t="shared" si="22"/>
        <v>348.16469274399736</v>
      </c>
      <c r="AU121" s="41">
        <f t="shared" si="18"/>
        <v>1832.4457512841966</v>
      </c>
      <c r="AV121" s="41">
        <f t="shared" si="19"/>
        <v>0.18324457512841966</v>
      </c>
      <c r="BF121">
        <v>0.16523045300023717</v>
      </c>
      <c r="BG121">
        <v>0.18324457512841966</v>
      </c>
    </row>
    <row r="122" spans="1:59" x14ac:dyDescent="0.2">
      <c r="A122">
        <v>51</v>
      </c>
      <c r="B122">
        <v>0.33250000000000002</v>
      </c>
      <c r="C122" s="41">
        <f t="shared" si="20"/>
        <v>0.54879802753236073</v>
      </c>
      <c r="D122" s="41">
        <v>0.187</v>
      </c>
      <c r="E122" s="34">
        <f t="shared" si="6"/>
        <v>21.559922510199886</v>
      </c>
      <c r="F122" s="41">
        <f t="shared" si="7"/>
        <v>862.39690040799542</v>
      </c>
      <c r="G122" s="41">
        <f t="shared" si="8"/>
        <v>4611.7481305240399</v>
      </c>
      <c r="H122" s="41">
        <f t="shared" si="9"/>
        <v>0.46117481305240399</v>
      </c>
      <c r="X122">
        <v>51</v>
      </c>
      <c r="Y122">
        <v>0.23899999999999999</v>
      </c>
      <c r="Z122" s="41">
        <f t="shared" si="10"/>
        <v>0.32982844493635854</v>
      </c>
      <c r="AA122">
        <v>0.191</v>
      </c>
      <c r="AB122" s="34">
        <f t="shared" si="11"/>
        <v>12.957546051071228</v>
      </c>
      <c r="AC122" s="41">
        <f t="shared" si="12"/>
        <v>518.3018420428491</v>
      </c>
      <c r="AD122" s="41">
        <f t="shared" si="13"/>
        <v>2713.6222096484244</v>
      </c>
      <c r="AE122" s="41">
        <f t="shared" si="14"/>
        <v>0.27136222096484242</v>
      </c>
      <c r="AO122" s="41">
        <v>51</v>
      </c>
      <c r="AP122">
        <v>0.24</v>
      </c>
      <c r="AQ122" s="41">
        <f t="shared" si="15"/>
        <v>0.36144826167455257</v>
      </c>
      <c r="AR122" s="41">
        <v>0.191</v>
      </c>
      <c r="AS122" s="34">
        <f t="shared" si="16"/>
        <v>14.199753137214564</v>
      </c>
      <c r="AT122" s="41">
        <f t="shared" si="22"/>
        <v>567.99012548858263</v>
      </c>
      <c r="AU122" s="41">
        <f t="shared" si="18"/>
        <v>2973.7702905161395</v>
      </c>
      <c r="AV122" s="41">
        <f t="shared" si="19"/>
        <v>0.29737702905161395</v>
      </c>
      <c r="BF122">
        <v>0.27136222096484242</v>
      </c>
      <c r="BG122">
        <v>0.29737702905161395</v>
      </c>
    </row>
    <row r="123" spans="1:59" x14ac:dyDescent="0.2">
      <c r="A123">
        <v>52</v>
      </c>
      <c r="B123">
        <v>0.27350000000000002</v>
      </c>
      <c r="C123" s="41">
        <f t="shared" si="20"/>
        <v>0.42757345387302237</v>
      </c>
      <c r="D123" s="41">
        <v>0.19700000000000001</v>
      </c>
      <c r="E123" s="34">
        <f t="shared" si="6"/>
        <v>16.797528545011591</v>
      </c>
      <c r="F123" s="41">
        <f t="shared" si="7"/>
        <v>671.90114180046362</v>
      </c>
      <c r="G123" s="41">
        <f t="shared" si="8"/>
        <v>3410.665694418597</v>
      </c>
      <c r="H123" s="41">
        <f t="shared" si="9"/>
        <v>0.3410665694418597</v>
      </c>
      <c r="X123">
        <v>52</v>
      </c>
      <c r="Y123">
        <v>0.16250000000000001</v>
      </c>
      <c r="Z123" s="41">
        <f t="shared" si="10"/>
        <v>0.18871057000553404</v>
      </c>
      <c r="AA123">
        <v>0.20799999999999999</v>
      </c>
      <c r="AB123" s="34">
        <f t="shared" si="11"/>
        <v>7.4136295359316939</v>
      </c>
      <c r="AC123" s="41">
        <f t="shared" si="12"/>
        <v>296.54518143726773</v>
      </c>
      <c r="AD123" s="41">
        <f t="shared" si="13"/>
        <v>1425.6979876791718</v>
      </c>
      <c r="AE123" s="41">
        <f t="shared" si="14"/>
        <v>0.14256979876791717</v>
      </c>
      <c r="AO123" s="41">
        <v>52</v>
      </c>
      <c r="AP123">
        <v>0.16400000000000001</v>
      </c>
      <c r="AQ123" s="41">
        <f t="shared" si="15"/>
        <v>0.205101830898992</v>
      </c>
      <c r="AR123" s="41">
        <v>0.20799999999999999</v>
      </c>
      <c r="AS123" s="34">
        <f t="shared" si="16"/>
        <v>8.0575719281746849</v>
      </c>
      <c r="AT123" s="41">
        <f t="shared" si="22"/>
        <v>322.30287712698737</v>
      </c>
      <c r="AU123" s="41">
        <f t="shared" si="18"/>
        <v>1549.5330631105162</v>
      </c>
      <c r="AV123" s="41">
        <f t="shared" si="19"/>
        <v>0.15495330631105161</v>
      </c>
      <c r="BF123">
        <v>0.14256979876791717</v>
      </c>
      <c r="BG123">
        <v>0.15495330631105161</v>
      </c>
    </row>
    <row r="124" spans="1:59" x14ac:dyDescent="0.2">
      <c r="A124">
        <v>53</v>
      </c>
      <c r="B124">
        <v>0.32550000000000001</v>
      </c>
      <c r="C124" s="41">
        <f t="shared" si="20"/>
        <v>0.53441545099650711</v>
      </c>
      <c r="D124" s="41">
        <v>0.189</v>
      </c>
      <c r="E124" s="34">
        <f t="shared" si="6"/>
        <v>20.994892717719921</v>
      </c>
      <c r="F124" s="41">
        <f t="shared" si="7"/>
        <v>839.79570870879684</v>
      </c>
      <c r="G124" s="41">
        <f t="shared" si="8"/>
        <v>4443.3635381417826</v>
      </c>
      <c r="H124" s="41">
        <f t="shared" si="9"/>
        <v>0.44433635381417819</v>
      </c>
      <c r="X124">
        <v>53</v>
      </c>
      <c r="Y124">
        <v>0.21249999999999999</v>
      </c>
      <c r="Z124" s="41">
        <f t="shared" si="10"/>
        <v>0.2809444751890795</v>
      </c>
      <c r="AA124">
        <v>0.182</v>
      </c>
      <c r="AB124" s="34">
        <f t="shared" si="11"/>
        <v>11.037104382428122</v>
      </c>
      <c r="AC124" s="41">
        <f t="shared" si="12"/>
        <v>441.48417529712492</v>
      </c>
      <c r="AD124" s="41">
        <f t="shared" si="13"/>
        <v>2425.7372269072798</v>
      </c>
      <c r="AE124" s="41">
        <f t="shared" si="14"/>
        <v>0.24257372269072797</v>
      </c>
      <c r="AO124" s="41">
        <v>53</v>
      </c>
      <c r="AP124">
        <v>0.219</v>
      </c>
      <c r="AQ124" s="41">
        <f t="shared" si="15"/>
        <v>0.31824727422341087</v>
      </c>
      <c r="AR124" s="41">
        <v>0.182</v>
      </c>
      <c r="AS124" s="34">
        <f t="shared" si="16"/>
        <v>12.502571487348284</v>
      </c>
      <c r="AT124" s="41">
        <f t="shared" si="22"/>
        <v>500.10285949393136</v>
      </c>
      <c r="AU124" s="41">
        <f t="shared" si="18"/>
        <v>2747.8179093073154</v>
      </c>
      <c r="AV124" s="41">
        <f t="shared" si="19"/>
        <v>0.27478179093073146</v>
      </c>
      <c r="BF124">
        <v>0.24257372269072797</v>
      </c>
      <c r="BG124">
        <v>0.27478179093073146</v>
      </c>
    </row>
    <row r="125" spans="1:59" x14ac:dyDescent="0.2">
      <c r="A125">
        <v>54</v>
      </c>
      <c r="B125">
        <v>0.29099999999999998</v>
      </c>
      <c r="C125" s="41">
        <f t="shared" si="20"/>
        <v>0.46352989521265658</v>
      </c>
      <c r="D125" s="41">
        <v>0.21</v>
      </c>
      <c r="E125" s="34">
        <f t="shared" si="6"/>
        <v>18.21010302621151</v>
      </c>
      <c r="F125" s="41">
        <f t="shared" si="7"/>
        <v>728.40412104846041</v>
      </c>
      <c r="G125" s="41">
        <f t="shared" si="8"/>
        <v>3468.5910526117163</v>
      </c>
      <c r="H125" s="41">
        <f t="shared" si="9"/>
        <v>0.34685910526117164</v>
      </c>
      <c r="X125">
        <v>54</v>
      </c>
      <c r="Y125" s="41">
        <v>0.1895</v>
      </c>
      <c r="Z125" s="41">
        <f t="shared" si="10"/>
        <v>0.23851687880464859</v>
      </c>
      <c r="AA125">
        <v>0.19</v>
      </c>
      <c r="AB125" s="34">
        <f t="shared" si="11"/>
        <v>9.3703059530397663</v>
      </c>
      <c r="AC125" s="41">
        <f t="shared" si="12"/>
        <v>374.81223812159067</v>
      </c>
      <c r="AD125" s="41">
        <f t="shared" si="13"/>
        <v>1972.6959901136352</v>
      </c>
      <c r="AE125" s="41">
        <f t="shared" si="14"/>
        <v>0.19726959901136351</v>
      </c>
      <c r="AO125" s="41">
        <v>54</v>
      </c>
      <c r="AP125">
        <v>0.19</v>
      </c>
      <c r="AQ125" s="41">
        <f t="shared" si="15"/>
        <v>0.25858876774326273</v>
      </c>
      <c r="AR125" s="41">
        <v>0.19</v>
      </c>
      <c r="AS125" s="34">
        <f t="shared" si="16"/>
        <v>10.158844447056749</v>
      </c>
      <c r="AT125" s="41">
        <f t="shared" si="22"/>
        <v>406.35377788226998</v>
      </c>
      <c r="AU125" s="41">
        <f t="shared" si="18"/>
        <v>2138.7040941172104</v>
      </c>
      <c r="AV125" s="41">
        <f t="shared" si="19"/>
        <v>0.21387040941172106</v>
      </c>
      <c r="BF125">
        <v>0.19726959901136351</v>
      </c>
      <c r="BG125">
        <v>0.21387040941172106</v>
      </c>
    </row>
    <row r="126" spans="1:59" x14ac:dyDescent="0.2">
      <c r="A126">
        <v>55</v>
      </c>
      <c r="B126">
        <v>0.29649999999999999</v>
      </c>
      <c r="C126" s="41">
        <f t="shared" si="20"/>
        <v>0.47483049106225594</v>
      </c>
      <c r="D126" s="41">
        <v>0.182</v>
      </c>
      <c r="E126" s="34">
        <f t="shared" si="6"/>
        <v>18.654055006017199</v>
      </c>
      <c r="F126" s="41">
        <f t="shared" si="7"/>
        <v>746.16220024068798</v>
      </c>
      <c r="G126" s="41">
        <f t="shared" si="8"/>
        <v>4099.7923090147697</v>
      </c>
      <c r="H126" s="41">
        <f t="shared" si="9"/>
        <v>0.40997923090147692</v>
      </c>
      <c r="X126">
        <v>55</v>
      </c>
      <c r="Y126">
        <v>0.19950000000000001</v>
      </c>
      <c r="Z126" s="41">
        <f t="shared" si="10"/>
        <v>0.25696365984135766</v>
      </c>
      <c r="AA126">
        <v>0.191</v>
      </c>
      <c r="AB126" s="34">
        <f t="shared" si="11"/>
        <v>10.09500092233905</v>
      </c>
      <c r="AC126" s="41">
        <f t="shared" si="12"/>
        <v>403.80003689356204</v>
      </c>
      <c r="AD126" s="41">
        <f t="shared" si="13"/>
        <v>2114.136318814461</v>
      </c>
      <c r="AE126" s="41">
        <f t="shared" si="14"/>
        <v>0.2114136318814461</v>
      </c>
      <c r="AO126" s="41">
        <v>55</v>
      </c>
      <c r="AP126">
        <v>0.2</v>
      </c>
      <c r="AQ126" s="41">
        <f t="shared" si="15"/>
        <v>0.27916066652952071</v>
      </c>
      <c r="AR126" s="41">
        <v>0.191</v>
      </c>
      <c r="AS126" s="34">
        <f t="shared" si="16"/>
        <v>10.967026185088313</v>
      </c>
      <c r="AT126" s="41">
        <f t="shared" si="22"/>
        <v>438.68104740353255</v>
      </c>
      <c r="AU126" s="41">
        <f t="shared" si="18"/>
        <v>2296.7594104896993</v>
      </c>
      <c r="AV126" s="41">
        <f t="shared" si="19"/>
        <v>0.22967594104896993</v>
      </c>
      <c r="BF126">
        <v>0.2114136318814461</v>
      </c>
      <c r="BG126">
        <v>0.22967594104896993</v>
      </c>
    </row>
    <row r="127" spans="1:59" x14ac:dyDescent="0.2">
      <c r="A127">
        <v>56</v>
      </c>
      <c r="B127">
        <v>0.24249999999999999</v>
      </c>
      <c r="C127" s="41">
        <f t="shared" si="20"/>
        <v>0.36387918635709876</v>
      </c>
      <c r="D127" s="41">
        <v>0.20100000000000001</v>
      </c>
      <c r="E127" s="34">
        <f t="shared" si="6"/>
        <v>14.295253749743166</v>
      </c>
      <c r="F127" s="41">
        <f t="shared" si="7"/>
        <v>571.8101499897266</v>
      </c>
      <c r="G127" s="41">
        <f t="shared" si="8"/>
        <v>2844.8266168643113</v>
      </c>
      <c r="H127" s="41">
        <f t="shared" si="9"/>
        <v>0.2844826616864311</v>
      </c>
      <c r="X127">
        <v>56</v>
      </c>
      <c r="Y127">
        <v>0.1555</v>
      </c>
      <c r="Z127" s="41">
        <f t="shared" si="10"/>
        <v>0.17579782327983765</v>
      </c>
      <c r="AA127">
        <v>0.183</v>
      </c>
      <c r="AB127" s="34">
        <f t="shared" si="11"/>
        <v>6.9063430574221929</v>
      </c>
      <c r="AC127" s="41">
        <f t="shared" si="12"/>
        <v>276.2537222968877</v>
      </c>
      <c r="AD127" s="41">
        <f t="shared" si="13"/>
        <v>1509.5831819502062</v>
      </c>
      <c r="AE127" s="41">
        <f t="shared" si="14"/>
        <v>0.15095831819502059</v>
      </c>
      <c r="AO127" s="41">
        <v>56</v>
      </c>
      <c r="AP127">
        <v>0.159</v>
      </c>
      <c r="AQ127" s="41">
        <f t="shared" si="15"/>
        <v>0.19481588150586301</v>
      </c>
      <c r="AR127" s="41">
        <v>0.183</v>
      </c>
      <c r="AS127" s="34">
        <f t="shared" si="16"/>
        <v>7.6534810591589038</v>
      </c>
      <c r="AT127" s="41">
        <f t="shared" si="22"/>
        <v>306.13924236635614</v>
      </c>
      <c r="AU127" s="41">
        <f t="shared" si="18"/>
        <v>1672.8920347888313</v>
      </c>
      <c r="AV127" s="41">
        <f t="shared" si="19"/>
        <v>0.16728920347888313</v>
      </c>
      <c r="BF127">
        <v>0.15095831819502059</v>
      </c>
      <c r="BG127">
        <v>0.16728920347888313</v>
      </c>
    </row>
    <row r="128" spans="1:59" x14ac:dyDescent="0.2">
      <c r="A128">
        <v>57</v>
      </c>
      <c r="B128">
        <v>0.30649999999999999</v>
      </c>
      <c r="C128" s="41">
        <f t="shared" si="20"/>
        <v>0.49537702897061842</v>
      </c>
      <c r="D128" s="41">
        <v>0.19800000000000001</v>
      </c>
      <c r="E128" s="34">
        <f t="shared" si="6"/>
        <v>19.461240423845723</v>
      </c>
      <c r="F128" s="41">
        <f t="shared" si="7"/>
        <v>778.44961695382892</v>
      </c>
      <c r="G128" s="41">
        <f t="shared" si="8"/>
        <v>3931.563721989035</v>
      </c>
      <c r="H128" s="41">
        <f t="shared" si="9"/>
        <v>0.39315637219890343</v>
      </c>
      <c r="X128">
        <v>57</v>
      </c>
      <c r="Y128">
        <v>0.20699999999999999</v>
      </c>
      <c r="Z128" s="41">
        <f t="shared" si="10"/>
        <v>0.27079874561888945</v>
      </c>
      <c r="AA128">
        <v>0.193</v>
      </c>
      <c r="AB128" s="34">
        <f t="shared" si="11"/>
        <v>10.638522149313514</v>
      </c>
      <c r="AC128" s="41">
        <f t="shared" si="12"/>
        <v>425.54088597254059</v>
      </c>
      <c r="AD128" s="41">
        <f t="shared" si="13"/>
        <v>2204.875056852542</v>
      </c>
      <c r="AE128" s="41">
        <f t="shared" si="14"/>
        <v>0.22048750568525421</v>
      </c>
      <c r="AO128" s="41">
        <v>57</v>
      </c>
      <c r="AP128">
        <v>0.21299999999999999</v>
      </c>
      <c r="AQ128" s="41">
        <f t="shared" si="15"/>
        <v>0.30590413495165603</v>
      </c>
      <c r="AR128" s="41">
        <v>0.193</v>
      </c>
      <c r="AS128" s="34">
        <f t="shared" si="16"/>
        <v>12.017662444529343</v>
      </c>
      <c r="AT128" s="41">
        <f t="shared" si="22"/>
        <v>480.70649778117371</v>
      </c>
      <c r="AU128" s="41">
        <f t="shared" si="18"/>
        <v>2490.7072423895011</v>
      </c>
      <c r="AV128" s="41">
        <f t="shared" si="19"/>
        <v>0.24907072423895013</v>
      </c>
      <c r="BF128">
        <v>0.22048750568525421</v>
      </c>
      <c r="BG128">
        <v>0.24907072423895013</v>
      </c>
    </row>
    <row r="129" spans="1:59" x14ac:dyDescent="0.2">
      <c r="A129">
        <v>58</v>
      </c>
      <c r="B129">
        <v>0.27200000000000002</v>
      </c>
      <c r="C129" s="41">
        <f t="shared" si="20"/>
        <v>0.424491473186768</v>
      </c>
      <c r="D129" s="41">
        <v>0.19900000000000001</v>
      </c>
      <c r="E129" s="34">
        <f t="shared" si="6"/>
        <v>16.676450732337315</v>
      </c>
      <c r="F129" s="41">
        <f t="shared" si="7"/>
        <v>667.05802929349261</v>
      </c>
      <c r="G129" s="41">
        <f t="shared" si="8"/>
        <v>3352.0503984597617</v>
      </c>
      <c r="H129" s="41">
        <f t="shared" si="9"/>
        <v>0.33520503984597616</v>
      </c>
      <c r="X129">
        <v>58</v>
      </c>
      <c r="Y129" s="41">
        <v>0.16500000000000001</v>
      </c>
      <c r="Z129" s="41">
        <f t="shared" si="10"/>
        <v>0.1933222652647113</v>
      </c>
      <c r="AA129">
        <v>0.20399999999999999</v>
      </c>
      <c r="AB129" s="34">
        <f t="shared" si="11"/>
        <v>7.5948032782565154</v>
      </c>
      <c r="AC129" s="41">
        <f t="shared" si="12"/>
        <v>303.7921311302606</v>
      </c>
      <c r="AD129" s="41">
        <f t="shared" si="13"/>
        <v>1489.1771133836305</v>
      </c>
      <c r="AE129" s="41">
        <f t="shared" si="14"/>
        <v>0.14891771133836307</v>
      </c>
      <c r="AO129" s="41">
        <v>58</v>
      </c>
      <c r="AP129">
        <v>0.17199999999999999</v>
      </c>
      <c r="AQ129" s="41">
        <f t="shared" si="15"/>
        <v>0.22155934992799833</v>
      </c>
      <c r="AR129" s="41">
        <v>0.20399999999999999</v>
      </c>
      <c r="AS129" s="34">
        <f t="shared" si="16"/>
        <v>8.7041173185999341</v>
      </c>
      <c r="AT129" s="41">
        <f t="shared" si="22"/>
        <v>348.16469274399736</v>
      </c>
      <c r="AU129" s="41">
        <f t="shared" si="18"/>
        <v>1706.6896703137127</v>
      </c>
      <c r="AV129" s="41">
        <f t="shared" si="19"/>
        <v>0.17066896703137127</v>
      </c>
      <c r="BF129">
        <v>0.14891771133836307</v>
      </c>
      <c r="BG129">
        <v>0.17066896703137127</v>
      </c>
    </row>
    <row r="130" spans="1:59" x14ac:dyDescent="0.2">
      <c r="A130">
        <v>59</v>
      </c>
      <c r="B130">
        <v>0.29749999999999999</v>
      </c>
      <c r="C130" s="41">
        <f t="shared" si="20"/>
        <v>0.47688514485309219</v>
      </c>
      <c r="D130" s="41">
        <v>0.19700000000000001</v>
      </c>
      <c r="E130" s="34">
        <f t="shared" si="6"/>
        <v>18.734773547800049</v>
      </c>
      <c r="F130" s="41">
        <f t="shared" si="7"/>
        <v>749.39094191200195</v>
      </c>
      <c r="G130" s="41">
        <f t="shared" si="8"/>
        <v>3804.0149335634615</v>
      </c>
      <c r="H130" s="41">
        <f t="shared" si="9"/>
        <v>0.38040149335634615</v>
      </c>
      <c r="X130">
        <v>59</v>
      </c>
      <c r="Y130" s="41">
        <v>0.191</v>
      </c>
      <c r="Z130" s="41">
        <f t="shared" si="10"/>
        <v>0.24128389596015495</v>
      </c>
      <c r="AA130">
        <v>0.19500000000000001</v>
      </c>
      <c r="AB130" s="34">
        <f t="shared" si="11"/>
        <v>9.4790101984346595</v>
      </c>
      <c r="AC130" s="41">
        <f t="shared" si="12"/>
        <v>379.16040793738637</v>
      </c>
      <c r="AD130" s="41">
        <f t="shared" si="13"/>
        <v>1944.4123483968531</v>
      </c>
      <c r="AE130" s="41">
        <f t="shared" si="14"/>
        <v>0.19444123483968531</v>
      </c>
      <c r="AO130" s="41">
        <v>59</v>
      </c>
      <c r="AP130">
        <v>0.19700000000000001</v>
      </c>
      <c r="AQ130" s="41">
        <f t="shared" si="15"/>
        <v>0.27298909689364331</v>
      </c>
      <c r="AR130" s="41">
        <v>0.19500000000000001</v>
      </c>
      <c r="AS130" s="34">
        <f t="shared" si="16"/>
        <v>10.724571663678844</v>
      </c>
      <c r="AT130" s="41">
        <f t="shared" si="22"/>
        <v>428.98286654715378</v>
      </c>
      <c r="AU130" s="41">
        <f t="shared" si="18"/>
        <v>2199.9121361392499</v>
      </c>
      <c r="AV130" s="41">
        <f t="shared" si="19"/>
        <v>0.21999121361392501</v>
      </c>
      <c r="BF130">
        <v>0.19444123483968531</v>
      </c>
      <c r="BG130">
        <v>0.21999121361392501</v>
      </c>
    </row>
    <row r="131" spans="1:59" x14ac:dyDescent="0.2">
      <c r="A131">
        <v>60</v>
      </c>
      <c r="B131">
        <v>0.23899999999999999</v>
      </c>
      <c r="C131" s="41">
        <f t="shared" si="20"/>
        <v>0.3566878980891719</v>
      </c>
      <c r="D131" s="41">
        <v>0.19900000000000001</v>
      </c>
      <c r="E131" s="34">
        <f t="shared" si="6"/>
        <v>14.012738853503182</v>
      </c>
      <c r="F131" s="41">
        <f t="shared" si="7"/>
        <v>560.50955414012731</v>
      </c>
      <c r="G131" s="41">
        <f t="shared" si="8"/>
        <v>2816.630925327273</v>
      </c>
      <c r="H131" s="41">
        <f t="shared" si="9"/>
        <v>0.28166309253272725</v>
      </c>
      <c r="X131">
        <v>60</v>
      </c>
      <c r="Y131" s="41">
        <v>0.153</v>
      </c>
      <c r="Z131" s="41">
        <f t="shared" si="10"/>
        <v>0.17118612802066038</v>
      </c>
      <c r="AA131">
        <v>0.186</v>
      </c>
      <c r="AB131" s="34">
        <f t="shared" si="11"/>
        <v>6.7251693150973724</v>
      </c>
      <c r="AC131" s="41">
        <f t="shared" si="12"/>
        <v>269.00677260389489</v>
      </c>
      <c r="AD131" s="41">
        <f t="shared" si="13"/>
        <v>1446.2729709886821</v>
      </c>
      <c r="AE131" s="41">
        <f t="shared" si="14"/>
        <v>0.14462729709886823</v>
      </c>
      <c r="AO131" s="41">
        <v>60</v>
      </c>
      <c r="AP131">
        <v>0.157</v>
      </c>
      <c r="AQ131" s="41">
        <f t="shared" si="15"/>
        <v>0.19070150174861142</v>
      </c>
      <c r="AR131" s="41">
        <v>0.186</v>
      </c>
      <c r="AS131" s="34">
        <f t="shared" si="16"/>
        <v>7.4918447115525915</v>
      </c>
      <c r="AT131" s="41">
        <f t="shared" si="22"/>
        <v>299.67378846210363</v>
      </c>
      <c r="AU131" s="41">
        <f t="shared" si="18"/>
        <v>1611.1494003338905</v>
      </c>
      <c r="AV131" s="41">
        <f t="shared" si="19"/>
        <v>0.16111494003338905</v>
      </c>
      <c r="BF131">
        <v>0.14462729709886823</v>
      </c>
      <c r="BG131">
        <v>0.16111494003338905</v>
      </c>
    </row>
    <row r="132" spans="1:59" x14ac:dyDescent="0.2">
      <c r="A132" t="s">
        <v>194</v>
      </c>
      <c r="B132">
        <v>0.1925</v>
      </c>
      <c r="C132" s="41">
        <f t="shared" si="20"/>
        <v>0.26114649681528657</v>
      </c>
      <c r="D132" s="41">
        <v>0.20200000000000001</v>
      </c>
      <c r="E132" s="34">
        <f t="shared" si="6"/>
        <v>10.259326660600543</v>
      </c>
      <c r="F132" s="41">
        <f t="shared" si="7"/>
        <v>410.37306642402172</v>
      </c>
      <c r="G132" s="41">
        <f t="shared" si="8"/>
        <v>2031.5498337822855</v>
      </c>
      <c r="H132" s="41">
        <f t="shared" si="9"/>
        <v>0.20315498337822854</v>
      </c>
      <c r="AO132" s="41" t="s">
        <v>194</v>
      </c>
      <c r="AP132">
        <v>0.19</v>
      </c>
      <c r="AQ132" s="41">
        <f t="shared" si="15"/>
        <v>0.25858876774326273</v>
      </c>
      <c r="AR132" s="41">
        <v>0.20200000000000001</v>
      </c>
      <c r="AS132" s="34">
        <f t="shared" ref="AS132:AS134" si="23">AQ132*(275/7)</f>
        <v>10.158844447056749</v>
      </c>
      <c r="AT132" s="41">
        <f t="shared" ref="AT132:AT134" si="24">AS132*40</f>
        <v>406.35377788226998</v>
      </c>
      <c r="AU132" s="41">
        <f t="shared" ref="AU132:AU134" si="25">AT132/AR132</f>
        <v>2011.6523657538116</v>
      </c>
      <c r="AV132" s="41">
        <f t="shared" ref="AV132:AV134" si="26">(AT132/1000000)/AR132*100</f>
        <v>0.20116523657538113</v>
      </c>
    </row>
    <row r="133" spans="1:59" x14ac:dyDescent="0.2">
      <c r="A133" t="s">
        <v>195</v>
      </c>
      <c r="B133">
        <v>0.17249999999999999</v>
      </c>
      <c r="C133" s="41">
        <f t="shared" si="20"/>
        <v>0.22005342099856171</v>
      </c>
      <c r="D133" s="41">
        <v>0.18099999999999999</v>
      </c>
      <c r="E133" s="34">
        <f t="shared" si="6"/>
        <v>8.6449558249434961</v>
      </c>
      <c r="F133" s="41">
        <f t="shared" si="7"/>
        <v>345.79823299773983</v>
      </c>
      <c r="G133" s="41">
        <f t="shared" si="8"/>
        <v>1910.4874751256345</v>
      </c>
      <c r="H133" s="41">
        <f t="shared" si="9"/>
        <v>0.19104874751256345</v>
      </c>
      <c r="AO133" s="41" t="s">
        <v>195</v>
      </c>
      <c r="AP133">
        <v>0.17299999999999999</v>
      </c>
      <c r="AQ133" s="41">
        <f t="shared" si="15"/>
        <v>0.22361653980662413</v>
      </c>
      <c r="AR133" s="41">
        <v>0.18099999999999999</v>
      </c>
      <c r="AS133" s="34">
        <f t="shared" si="23"/>
        <v>8.7849354924030898</v>
      </c>
      <c r="AT133" s="41">
        <f t="shared" si="24"/>
        <v>351.39741969612362</v>
      </c>
      <c r="AU133" s="41">
        <f t="shared" si="25"/>
        <v>1941.4222082658764</v>
      </c>
      <c r="AV133" s="41">
        <f t="shared" si="26"/>
        <v>0.19414222082658764</v>
      </c>
    </row>
    <row r="134" spans="1:59" x14ac:dyDescent="0.2">
      <c r="A134" t="s">
        <v>196</v>
      </c>
      <c r="B134">
        <v>0.19650000000000001</v>
      </c>
      <c r="C134" s="41">
        <f t="shared" si="20"/>
        <v>0.26936511197863156</v>
      </c>
      <c r="D134" s="41">
        <v>0.219</v>
      </c>
      <c r="E134" s="34">
        <f t="shared" si="6"/>
        <v>10.582200827731954</v>
      </c>
      <c r="F134" s="41">
        <f t="shared" si="7"/>
        <v>423.28803310927816</v>
      </c>
      <c r="G134" s="41">
        <f t="shared" si="8"/>
        <v>1932.8220689921377</v>
      </c>
      <c r="H134" s="41">
        <f t="shared" si="9"/>
        <v>0.19328220689921377</v>
      </c>
      <c r="AO134" s="41" t="s">
        <v>196</v>
      </c>
      <c r="AP134">
        <v>0.19700000000000001</v>
      </c>
      <c r="AQ134" s="41">
        <f t="shared" si="15"/>
        <v>0.27298909689364331</v>
      </c>
      <c r="AR134" s="41">
        <v>0.219</v>
      </c>
      <c r="AS134" s="34">
        <f t="shared" si="23"/>
        <v>10.724571663678844</v>
      </c>
      <c r="AT134" s="41">
        <f t="shared" si="24"/>
        <v>428.98286654715378</v>
      </c>
      <c r="AU134" s="41">
        <f t="shared" si="25"/>
        <v>1958.8258746445379</v>
      </c>
      <c r="AV134" s="41">
        <f t="shared" si="26"/>
        <v>0.19588258746445378</v>
      </c>
    </row>
    <row r="135" spans="1:59" x14ac:dyDescent="0.2">
      <c r="A135" t="s">
        <v>197</v>
      </c>
      <c r="B135">
        <v>6.3500000000000001E-2</v>
      </c>
      <c r="C135" s="41">
        <f t="shared" si="20"/>
        <v>-3.9038422025888613E-3</v>
      </c>
      <c r="AO135" s="41" t="s">
        <v>197</v>
      </c>
      <c r="AP135">
        <v>0.06</v>
      </c>
      <c r="AQ135" s="41">
        <f t="shared" si="15"/>
        <v>-8.845916478090925E-3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2"/>
  <sheetViews>
    <sheetView tabSelected="1" workbookViewId="0">
      <selection sqref="A1:XFD1"/>
    </sheetView>
  </sheetViews>
  <sheetFormatPr baseColWidth="10" defaultColWidth="8.83203125" defaultRowHeight="15" x14ac:dyDescent="0.2"/>
  <cols>
    <col min="13" max="13" width="9.5" bestFit="1" customWidth="1"/>
    <col min="14" max="14" width="9.33203125" bestFit="1" customWidth="1"/>
    <col min="17" max="17" width="9.1640625" style="41"/>
    <col min="26" max="26" width="9.1640625" style="41"/>
  </cols>
  <sheetData>
    <row r="1" spans="1:31" s="41" customFormat="1" x14ac:dyDescent="0.2">
      <c r="A1" s="41" t="s">
        <v>447</v>
      </c>
    </row>
    <row r="2" spans="1:31" ht="30" x14ac:dyDescent="0.2">
      <c r="A2" s="16" t="s">
        <v>63</v>
      </c>
      <c r="B2" s="16" t="s">
        <v>70</v>
      </c>
      <c r="C2" s="16" t="s">
        <v>71</v>
      </c>
      <c r="D2" s="16" t="s">
        <v>234</v>
      </c>
      <c r="E2" s="16" t="s">
        <v>235</v>
      </c>
      <c r="F2" s="32" t="s">
        <v>81</v>
      </c>
      <c r="G2" s="32" t="s">
        <v>82</v>
      </c>
      <c r="H2" s="33" t="s">
        <v>175</v>
      </c>
      <c r="I2" s="33" t="s">
        <v>174</v>
      </c>
      <c r="J2" t="s">
        <v>177</v>
      </c>
      <c r="K2" s="32" t="s">
        <v>166</v>
      </c>
      <c r="L2" s="32" t="s">
        <v>167</v>
      </c>
      <c r="M2" s="32" t="s">
        <v>100</v>
      </c>
      <c r="N2" t="s">
        <v>183</v>
      </c>
      <c r="O2" t="s">
        <v>184</v>
      </c>
      <c r="P2" t="s">
        <v>178</v>
      </c>
      <c r="Q2" s="41" t="s">
        <v>221</v>
      </c>
      <c r="R2" t="s">
        <v>220</v>
      </c>
      <c r="S2" t="s">
        <v>227</v>
      </c>
      <c r="T2" t="s">
        <v>238</v>
      </c>
      <c r="U2" t="s">
        <v>239</v>
      </c>
      <c r="V2" t="s">
        <v>436</v>
      </c>
      <c r="W2" t="s">
        <v>437</v>
      </c>
      <c r="X2" t="s">
        <v>438</v>
      </c>
      <c r="Y2" t="s">
        <v>439</v>
      </c>
      <c r="Z2" s="41" t="s">
        <v>442</v>
      </c>
      <c r="AA2" t="s">
        <v>440</v>
      </c>
      <c r="AB2" t="s">
        <v>441</v>
      </c>
      <c r="AC2" t="s">
        <v>443</v>
      </c>
      <c r="AD2" t="s">
        <v>444</v>
      </c>
      <c r="AE2" t="s">
        <v>445</v>
      </c>
    </row>
    <row r="3" spans="1:31" x14ac:dyDescent="0.2">
      <c r="A3" s="16">
        <v>1</v>
      </c>
      <c r="B3" s="16">
        <v>1</v>
      </c>
      <c r="C3" s="16" t="s">
        <v>74</v>
      </c>
      <c r="D3" s="16" t="s">
        <v>231</v>
      </c>
      <c r="E3" s="16" t="s">
        <v>76</v>
      </c>
      <c r="F3">
        <v>28.7</v>
      </c>
      <c r="G3">
        <v>25.503</v>
      </c>
      <c r="H3">
        <v>4.1630000000000003</v>
      </c>
      <c r="I3">
        <v>2.7090000000000001</v>
      </c>
      <c r="J3" s="34">
        <v>3.45</v>
      </c>
      <c r="K3" s="11">
        <v>3.8439472174411939E-2</v>
      </c>
      <c r="L3" s="11">
        <v>0.58081334723670486</v>
      </c>
      <c r="M3">
        <v>296.02</v>
      </c>
      <c r="N3" s="11">
        <v>8.3186637530821077</v>
      </c>
      <c r="O3" s="11">
        <v>0.69278169079828078</v>
      </c>
      <c r="P3" s="11">
        <v>0.14303797468354465</v>
      </c>
      <c r="Q3" s="11">
        <v>0.4441134168892541</v>
      </c>
      <c r="R3">
        <v>0.1996592771032043</v>
      </c>
      <c r="S3">
        <v>23.854839029936304</v>
      </c>
      <c r="T3" s="11">
        <v>134</v>
      </c>
      <c r="U3" s="11">
        <v>50</v>
      </c>
      <c r="V3">
        <v>1.7843317197603903</v>
      </c>
      <c r="W3">
        <v>7.2392358448122982</v>
      </c>
      <c r="X3">
        <v>39.141040758097283</v>
      </c>
      <c r="Y3">
        <v>-28.891429374327434</v>
      </c>
      <c r="Z3" s="41">
        <f>X3/V3</f>
        <v>21.935966459954741</v>
      </c>
      <c r="AA3">
        <v>1.7096453838921759</v>
      </c>
      <c r="AB3">
        <v>11.349736410322324</v>
      </c>
      <c r="AC3">
        <v>36.172333100864975</v>
      </c>
      <c r="AD3">
        <v>-29.227870660079372</v>
      </c>
      <c r="AE3">
        <v>21.157798828734354</v>
      </c>
    </row>
    <row r="4" spans="1:31" x14ac:dyDescent="0.2">
      <c r="A4" s="16">
        <v>2</v>
      </c>
      <c r="B4" s="16">
        <v>1</v>
      </c>
      <c r="C4" s="16" t="s">
        <v>77</v>
      </c>
      <c r="D4" s="16" t="s">
        <v>231</v>
      </c>
      <c r="E4" s="16" t="s">
        <v>76</v>
      </c>
      <c r="F4">
        <v>28.5</v>
      </c>
      <c r="G4">
        <v>24.88</v>
      </c>
      <c r="H4">
        <v>4.4329999999999998</v>
      </c>
      <c r="I4">
        <v>2.3879999999999999</v>
      </c>
      <c r="J4" s="34">
        <v>4.3</v>
      </c>
      <c r="K4" s="11">
        <v>4.4176706827309245E-2</v>
      </c>
      <c r="L4" s="11">
        <v>0.88842544316996874</v>
      </c>
      <c r="M4">
        <v>308.86</v>
      </c>
      <c r="N4" s="11">
        <v>1.1853634335223922</v>
      </c>
      <c r="O4" s="11">
        <v>0.61517886270821753</v>
      </c>
      <c r="P4" s="11">
        <v>0.12850971922246193</v>
      </c>
      <c r="Q4" s="11">
        <v>0.30646866890959751</v>
      </c>
      <c r="R4">
        <v>0.19908022648687262</v>
      </c>
      <c r="S4">
        <v>31.661947549798011</v>
      </c>
      <c r="T4" s="11">
        <v>141</v>
      </c>
      <c r="U4" s="11">
        <v>0</v>
      </c>
      <c r="V4">
        <v>1.5918311019689042</v>
      </c>
      <c r="W4">
        <v>7.0945869986053554</v>
      </c>
      <c r="X4">
        <v>39.651677792804577</v>
      </c>
      <c r="Y4">
        <v>-29.156061189768142</v>
      </c>
      <c r="Z4" s="41">
        <f t="shared" ref="Z4:Z62" si="0">X4/V4</f>
        <v>24.90947547372344</v>
      </c>
      <c r="AA4">
        <v>1.6814832605987424</v>
      </c>
      <c r="AB4">
        <v>8.3455046105121617</v>
      </c>
      <c r="AC4">
        <v>38.510365417351785</v>
      </c>
      <c r="AD4">
        <v>-29.449285713890529</v>
      </c>
      <c r="AE4">
        <v>22.902615993714392</v>
      </c>
    </row>
    <row r="5" spans="1:31" x14ac:dyDescent="0.2">
      <c r="A5" s="16">
        <v>3</v>
      </c>
      <c r="B5" s="16">
        <v>1</v>
      </c>
      <c r="C5" s="16" t="s">
        <v>74</v>
      </c>
      <c r="D5" s="16" t="s">
        <v>232</v>
      </c>
      <c r="E5" s="16" t="s">
        <v>76</v>
      </c>
      <c r="F5">
        <v>35.200000000000003</v>
      </c>
      <c r="G5">
        <v>24.1</v>
      </c>
      <c r="H5">
        <v>4.8949999999999996</v>
      </c>
      <c r="I5">
        <v>2.1070000000000002</v>
      </c>
      <c r="J5" s="34">
        <v>3.68</v>
      </c>
      <c r="K5" s="11">
        <v>4.4176706827309245E-2</v>
      </c>
      <c r="L5" s="11">
        <v>2.3534932221063611</v>
      </c>
      <c r="M5">
        <v>318.69</v>
      </c>
      <c r="N5" s="11">
        <v>7.521452023275967</v>
      </c>
      <c r="O5" s="11">
        <v>0.88689056755527462</v>
      </c>
      <c r="P5" s="11">
        <v>0.25816993464052268</v>
      </c>
      <c r="Q5" s="11">
        <v>0.40130976025777743</v>
      </c>
      <c r="R5">
        <v>0.27908808484348052</v>
      </c>
      <c r="S5">
        <v>28.103267948529069</v>
      </c>
      <c r="T5" s="11">
        <v>221</v>
      </c>
      <c r="U5" s="11">
        <v>89</v>
      </c>
      <c r="V5">
        <v>1.8459082035419512</v>
      </c>
      <c r="W5">
        <v>8.6547794203680581</v>
      </c>
      <c r="X5">
        <v>39.058076704382202</v>
      </c>
      <c r="Y5">
        <v>-29.000349339636514</v>
      </c>
      <c r="Z5" s="41">
        <f t="shared" si="0"/>
        <v>21.159273591957113</v>
      </c>
      <c r="AA5">
        <v>1.8229414086349018</v>
      </c>
      <c r="AB5">
        <v>9.1596047030151642</v>
      </c>
      <c r="AC5">
        <v>38.252969714862587</v>
      </c>
      <c r="AD5">
        <v>-29.652599394313306</v>
      </c>
      <c r="AE5">
        <v>20.984201430537517</v>
      </c>
    </row>
    <row r="6" spans="1:31" x14ac:dyDescent="0.2">
      <c r="A6" s="16">
        <v>4</v>
      </c>
      <c r="B6" s="16">
        <v>1</v>
      </c>
      <c r="C6" s="16" t="s">
        <v>77</v>
      </c>
      <c r="D6" s="16" t="s">
        <v>232</v>
      </c>
      <c r="E6" s="16" t="s">
        <v>76</v>
      </c>
      <c r="F6">
        <v>35.6</v>
      </c>
      <c r="G6">
        <v>30.815000000000001</v>
      </c>
      <c r="H6">
        <v>5.1609999999999996</v>
      </c>
      <c r="I6">
        <v>2.851</v>
      </c>
      <c r="J6" s="34">
        <v>4.0999999999999996</v>
      </c>
      <c r="K6" s="11">
        <v>3.2702237521514632E-2</v>
      </c>
      <c r="L6" s="11">
        <v>0.82064650677789353</v>
      </c>
      <c r="M6">
        <v>314.58999999999997</v>
      </c>
      <c r="N6" s="11">
        <v>11.360644593003034</v>
      </c>
      <c r="O6" s="11">
        <v>2.0295112410373997</v>
      </c>
      <c r="P6" s="11">
        <v>0.25310559006211103</v>
      </c>
      <c r="Q6" s="11">
        <v>0.30754579758072664</v>
      </c>
      <c r="R6">
        <v>0.19397154710180886</v>
      </c>
      <c r="S6">
        <v>34.45497900211393</v>
      </c>
      <c r="T6" s="11">
        <v>163</v>
      </c>
      <c r="U6" s="11">
        <v>0</v>
      </c>
      <c r="V6">
        <v>1.6279949385868879</v>
      </c>
      <c r="W6">
        <v>10.369982757197892</v>
      </c>
      <c r="X6">
        <v>39.445042770970353</v>
      </c>
      <c r="Y6">
        <v>-29.355566751579669</v>
      </c>
      <c r="Z6" s="41">
        <f t="shared" si="0"/>
        <v>24.229217079267428</v>
      </c>
      <c r="AA6">
        <v>1.7492027655076132</v>
      </c>
      <c r="AB6">
        <v>10.805535337287044</v>
      </c>
      <c r="AC6">
        <v>38.206027325276366</v>
      </c>
      <c r="AD6">
        <v>-29.41441095825008</v>
      </c>
      <c r="AE6">
        <v>21.841965996543056</v>
      </c>
    </row>
    <row r="7" spans="1:31" x14ac:dyDescent="0.2">
      <c r="A7" s="16">
        <v>5</v>
      </c>
      <c r="B7" s="16">
        <v>1</v>
      </c>
      <c r="C7" s="16" t="s">
        <v>74</v>
      </c>
      <c r="D7" s="16" t="s">
        <v>233</v>
      </c>
      <c r="E7" s="16" t="s">
        <v>76</v>
      </c>
      <c r="F7">
        <v>38.9</v>
      </c>
      <c r="G7">
        <v>21.314</v>
      </c>
      <c r="H7">
        <v>4.7549999999999999</v>
      </c>
      <c r="I7">
        <v>2.1659999999999999</v>
      </c>
      <c r="J7" s="34">
        <v>3.54</v>
      </c>
      <c r="K7" s="11">
        <v>1.5490533562822725E-2</v>
      </c>
      <c r="L7" s="11">
        <v>3.3368091762252292E-2</v>
      </c>
      <c r="M7">
        <v>501.84000000000003</v>
      </c>
      <c r="N7" s="11">
        <v>17.302429399230729</v>
      </c>
      <c r="O7" s="11">
        <v>0.63964270080035091</v>
      </c>
      <c r="P7" s="11">
        <v>0.28885630498533721</v>
      </c>
      <c r="Q7" s="11">
        <v>0.44085413306699517</v>
      </c>
      <c r="R7">
        <v>0.21561543107193182</v>
      </c>
      <c r="S7">
        <v>28.323680740037616</v>
      </c>
      <c r="T7" s="11">
        <v>368</v>
      </c>
      <c r="U7" s="11">
        <v>142</v>
      </c>
      <c r="V7">
        <v>1.7340070202620679</v>
      </c>
      <c r="W7">
        <v>10.126131804035865</v>
      </c>
      <c r="X7">
        <v>39.251113910252315</v>
      </c>
      <c r="Y7">
        <v>-28.736822975004575</v>
      </c>
      <c r="Z7" s="41">
        <f t="shared" si="0"/>
        <v>22.636075547329749</v>
      </c>
      <c r="AA7">
        <v>1.8208486446263019</v>
      </c>
      <c r="AB7">
        <v>9.0929735403240031</v>
      </c>
      <c r="AC7">
        <v>38.311285086972859</v>
      </c>
      <c r="AD7">
        <v>-29.61846520804497</v>
      </c>
      <c r="AE7">
        <v>21.040345775052376</v>
      </c>
    </row>
    <row r="8" spans="1:31" x14ac:dyDescent="0.2">
      <c r="A8" s="16">
        <v>6</v>
      </c>
      <c r="B8" s="16">
        <v>1</v>
      </c>
      <c r="C8" s="16" t="s">
        <v>77</v>
      </c>
      <c r="D8" s="16" t="s">
        <v>233</v>
      </c>
      <c r="E8" s="16" t="s">
        <v>76</v>
      </c>
      <c r="F8">
        <v>42</v>
      </c>
      <c r="G8">
        <v>25.978999999999999</v>
      </c>
      <c r="H8">
        <v>6.5860000000000003</v>
      </c>
      <c r="I8">
        <v>2.7629999999999999</v>
      </c>
      <c r="J8" s="34">
        <v>3.19</v>
      </c>
      <c r="K8" s="11">
        <v>2.4096385542168686E-2</v>
      </c>
      <c r="L8" s="11">
        <v>2.0928050052137643</v>
      </c>
      <c r="M8">
        <v>356.64</v>
      </c>
      <c r="N8" s="11">
        <v>5.3240244484775587</v>
      </c>
      <c r="O8" s="11">
        <v>2.5571390355547083</v>
      </c>
      <c r="P8" s="11">
        <v>0.28465346534653424</v>
      </c>
      <c r="Q8" s="11">
        <v>0.33998649798937447</v>
      </c>
      <c r="R8">
        <v>0.14539429959973105</v>
      </c>
      <c r="S8">
        <v>33.542855325033536</v>
      </c>
      <c r="T8" s="11">
        <v>129</v>
      </c>
      <c r="U8" s="11">
        <v>0</v>
      </c>
      <c r="V8">
        <v>1.7028960013776289</v>
      </c>
      <c r="W8">
        <v>9.9919857639067349</v>
      </c>
      <c r="X8">
        <v>39.350702496589626</v>
      </c>
      <c r="Y8">
        <v>-29.229413520778419</v>
      </c>
      <c r="Z8" s="41">
        <f t="shared" si="0"/>
        <v>23.108106698679915</v>
      </c>
      <c r="AA8">
        <v>1.8259208864827594</v>
      </c>
      <c r="AB8">
        <v>10.87193766678458</v>
      </c>
      <c r="AC8">
        <v>37.360573087975702</v>
      </c>
      <c r="AD8">
        <v>-29.173754274832316</v>
      </c>
      <c r="AE8">
        <v>20.461222260260545</v>
      </c>
    </row>
    <row r="9" spans="1:31" x14ac:dyDescent="0.2">
      <c r="A9" s="16">
        <v>7</v>
      </c>
      <c r="B9" s="16">
        <v>1</v>
      </c>
      <c r="C9" s="16" t="s">
        <v>74</v>
      </c>
      <c r="D9" s="16" t="s">
        <v>231</v>
      </c>
      <c r="E9" s="16" t="s">
        <v>80</v>
      </c>
      <c r="F9">
        <v>27.7</v>
      </c>
      <c r="G9">
        <v>23.742999999999999</v>
      </c>
      <c r="H9">
        <v>4.6399999999999997</v>
      </c>
      <c r="I9">
        <v>2.504</v>
      </c>
      <c r="J9" s="34">
        <v>3.15</v>
      </c>
      <c r="K9" s="11">
        <v>3.12679288582903E-2</v>
      </c>
      <c r="L9" s="11">
        <v>1.5401459854014599</v>
      </c>
      <c r="M9">
        <v>293.58999999999997</v>
      </c>
      <c r="N9" s="11">
        <v>33.814304927884415</v>
      </c>
      <c r="O9" s="11">
        <v>1.5033910665392627</v>
      </c>
      <c r="P9" s="11">
        <v>0.1288888888888885</v>
      </c>
      <c r="Q9" s="11">
        <v>0.37130529220112118</v>
      </c>
      <c r="R9">
        <v>0.2178521815873159</v>
      </c>
      <c r="S9">
        <v>28.775278775278778</v>
      </c>
      <c r="T9" s="11">
        <v>241</v>
      </c>
      <c r="U9" s="11">
        <v>61</v>
      </c>
      <c r="V9">
        <v>1.7707524737579738</v>
      </c>
      <c r="W9">
        <v>7.5575974593964839</v>
      </c>
      <c r="X9">
        <v>39.081614670735263</v>
      </c>
      <c r="Y9">
        <v>-28.980298482533833</v>
      </c>
      <c r="Z9" s="41">
        <f t="shared" si="0"/>
        <v>22.07062548262007</v>
      </c>
      <c r="AA9">
        <v>1.7857287240131161</v>
      </c>
      <c r="AB9">
        <v>9.0617665890109738</v>
      </c>
      <c r="AC9">
        <v>37.388376806495764</v>
      </c>
      <c r="AD9">
        <v>-28.951262458346338</v>
      </c>
      <c r="AE9">
        <v>20.937321724025281</v>
      </c>
    </row>
    <row r="10" spans="1:31" x14ac:dyDescent="0.2">
      <c r="A10" s="16">
        <v>8</v>
      </c>
      <c r="B10" s="16">
        <v>1</v>
      </c>
      <c r="C10" s="16" t="s">
        <v>77</v>
      </c>
      <c r="D10" s="16" t="s">
        <v>231</v>
      </c>
      <c r="E10" s="16" t="s">
        <v>80</v>
      </c>
      <c r="F10">
        <v>30.9</v>
      </c>
      <c r="G10">
        <v>23.157</v>
      </c>
      <c r="H10">
        <v>4.3150000000000004</v>
      </c>
      <c r="I10">
        <v>1.9079999999999999</v>
      </c>
      <c r="J10" s="34">
        <v>4.0999999999999996</v>
      </c>
      <c r="K10" s="11">
        <v>2.8399311531841647E-2</v>
      </c>
      <c r="L10" s="11">
        <v>0.33837330552659012</v>
      </c>
      <c r="M10">
        <v>319.33999999999997</v>
      </c>
      <c r="N10" s="11">
        <v>4.3575530716208197</v>
      </c>
      <c r="O10" s="11">
        <v>1.2414402896108614</v>
      </c>
      <c r="P10" s="11">
        <v>0.11428571428571491</v>
      </c>
      <c r="Q10" s="11">
        <v>0.31974426449085014</v>
      </c>
      <c r="R10">
        <v>0.18684706865590731</v>
      </c>
      <c r="S10">
        <v>33.743310635740912</v>
      </c>
      <c r="T10" s="11">
        <v>202</v>
      </c>
      <c r="U10" s="11">
        <v>0</v>
      </c>
      <c r="V10">
        <v>1.6956355979202258</v>
      </c>
      <c r="W10">
        <v>8.300340695142701</v>
      </c>
      <c r="X10">
        <v>39.289212652500986</v>
      </c>
      <c r="Y10">
        <v>-28.888454703061431</v>
      </c>
      <c r="Z10" s="41">
        <f t="shared" si="0"/>
        <v>23.170787815902777</v>
      </c>
      <c r="AA10">
        <v>1.8005802278701213</v>
      </c>
      <c r="AB10">
        <v>11.586525787975837</v>
      </c>
      <c r="AC10">
        <v>39.19408233630417</v>
      </c>
      <c r="AD10">
        <v>-29.216878200866137</v>
      </c>
      <c r="AE10">
        <v>21.767473467520105</v>
      </c>
    </row>
    <row r="11" spans="1:31" x14ac:dyDescent="0.2">
      <c r="A11" s="16">
        <v>9</v>
      </c>
      <c r="B11" s="16">
        <v>1</v>
      </c>
      <c r="C11" s="16" t="s">
        <v>74</v>
      </c>
      <c r="D11" s="16" t="s">
        <v>232</v>
      </c>
      <c r="E11" s="16" t="s">
        <v>80</v>
      </c>
      <c r="F11">
        <v>33.200000000000003</v>
      </c>
      <c r="G11">
        <v>21.579000000000001</v>
      </c>
      <c r="H11">
        <v>5.298</v>
      </c>
      <c r="I11">
        <v>2.2320000000000002</v>
      </c>
      <c r="J11" s="34">
        <v>2.57</v>
      </c>
      <c r="K11" s="11">
        <v>4.561101549053357E-2</v>
      </c>
      <c r="L11" s="11">
        <v>0.47653806047966624</v>
      </c>
      <c r="M11">
        <v>308.79000000000002</v>
      </c>
      <c r="N11" s="11">
        <v>2.9686243718438248</v>
      </c>
      <c r="O11" s="11">
        <v>0.5561748676343099</v>
      </c>
      <c r="P11" s="11">
        <v>0.14025974025974003</v>
      </c>
      <c r="Q11" s="11">
        <v>0.43229263488149861</v>
      </c>
      <c r="R11">
        <v>0.22219147758716098</v>
      </c>
      <c r="S11">
        <v>31.578001875031575</v>
      </c>
      <c r="T11" s="11">
        <v>188</v>
      </c>
      <c r="U11" s="11">
        <v>73</v>
      </c>
      <c r="V11">
        <v>1.8121598541657336</v>
      </c>
      <c r="W11">
        <v>10.353824786522139</v>
      </c>
      <c r="X11">
        <v>39.253690386062381</v>
      </c>
      <c r="Y11">
        <v>-29.203554715922792</v>
      </c>
      <c r="Z11" s="41">
        <f t="shared" si="0"/>
        <v>21.661273587883148</v>
      </c>
      <c r="AA11">
        <v>1.7186942004435928</v>
      </c>
      <c r="AB11">
        <v>9.6464677421484275</v>
      </c>
      <c r="AC11">
        <v>37.505084408258767</v>
      </c>
      <c r="AD11">
        <v>-29.616146212392135</v>
      </c>
      <c r="AE11">
        <v>21.821848469948147</v>
      </c>
    </row>
    <row r="12" spans="1:31" x14ac:dyDescent="0.2">
      <c r="A12" s="16">
        <v>10</v>
      </c>
      <c r="B12" s="16">
        <v>1</v>
      </c>
      <c r="C12" s="16" t="s">
        <v>77</v>
      </c>
      <c r="D12" s="16" t="s">
        <v>232</v>
      </c>
      <c r="E12" s="16" t="s">
        <v>80</v>
      </c>
      <c r="F12">
        <v>35.9</v>
      </c>
      <c r="G12">
        <v>24.021000000000001</v>
      </c>
      <c r="H12">
        <v>5.3369999999999997</v>
      </c>
      <c r="I12">
        <v>2.1059999999999999</v>
      </c>
      <c r="J12" s="34">
        <v>3.46</v>
      </c>
      <c r="K12" s="11">
        <v>2.4096385542168686E-2</v>
      </c>
      <c r="L12" s="11">
        <v>0.30448383733055268</v>
      </c>
      <c r="M12">
        <v>363.16</v>
      </c>
      <c r="N12" s="11">
        <v>11.880764088164941</v>
      </c>
      <c r="O12" s="11">
        <v>1.4500672414699041</v>
      </c>
      <c r="P12" s="11">
        <v>0.14483394833948346</v>
      </c>
      <c r="Q12" s="11">
        <v>0.26027245361537532</v>
      </c>
      <c r="R12">
        <v>0.13365725595941419</v>
      </c>
      <c r="S12">
        <v>28.155850073658296</v>
      </c>
      <c r="T12" s="11">
        <v>161</v>
      </c>
      <c r="U12" s="11">
        <v>0</v>
      </c>
      <c r="V12">
        <v>1.5638398103745277</v>
      </c>
      <c r="W12">
        <v>10.064372082205667</v>
      </c>
      <c r="X12">
        <v>39.574640217919956</v>
      </c>
      <c r="Y12">
        <v>-28.988661993626735</v>
      </c>
      <c r="Z12" s="41">
        <f t="shared" si="0"/>
        <v>25.306070324710646</v>
      </c>
      <c r="AA12">
        <v>1.5762580971254034</v>
      </c>
      <c r="AB12">
        <v>9.6297909989643564</v>
      </c>
      <c r="AC12">
        <v>38.217279798276735</v>
      </c>
      <c r="AD12">
        <v>-29.356955504872765</v>
      </c>
      <c r="AE12">
        <v>24.245572389428467</v>
      </c>
    </row>
    <row r="13" spans="1:31" x14ac:dyDescent="0.2">
      <c r="A13" s="16">
        <v>11</v>
      </c>
      <c r="B13" s="16">
        <v>1</v>
      </c>
      <c r="C13" s="16" t="s">
        <v>74</v>
      </c>
      <c r="D13" s="16" t="s">
        <v>233</v>
      </c>
      <c r="E13" s="16" t="s">
        <v>80</v>
      </c>
      <c r="F13">
        <v>38</v>
      </c>
      <c r="G13">
        <v>25.175999999999998</v>
      </c>
      <c r="H13">
        <v>5.3070000000000004</v>
      </c>
      <c r="I13">
        <v>2.1669999999999998</v>
      </c>
      <c r="J13" s="34">
        <v>3.04</v>
      </c>
      <c r="K13" s="11">
        <v>1.5490533562822725E-2</v>
      </c>
      <c r="L13" s="11">
        <v>4.3795620437956158E-2</v>
      </c>
      <c r="M13">
        <v>491.66999999999996</v>
      </c>
      <c r="N13" s="11">
        <v>4.5301550647113178</v>
      </c>
      <c r="O13" s="11">
        <v>1.3201240049704488</v>
      </c>
      <c r="P13" s="11">
        <v>0.24876441515650838</v>
      </c>
      <c r="Q13" s="11">
        <v>0.46680215407158043</v>
      </c>
      <c r="R13">
        <v>0.23456793489043548</v>
      </c>
      <c r="S13">
        <v>29.565029565029565</v>
      </c>
      <c r="T13" s="11">
        <v>219</v>
      </c>
      <c r="U13" s="11">
        <v>102</v>
      </c>
      <c r="V13">
        <v>1.9249468227922457</v>
      </c>
      <c r="W13">
        <v>9.0516206579805303</v>
      </c>
      <c r="X13">
        <v>39.165022842980051</v>
      </c>
      <c r="Y13">
        <v>-28.842383531595281</v>
      </c>
      <c r="Z13" s="41">
        <f t="shared" si="0"/>
        <v>20.346028461279225</v>
      </c>
      <c r="AA13">
        <v>1.9293442567371928</v>
      </c>
      <c r="AB13">
        <v>8.3399997511715274</v>
      </c>
      <c r="AC13">
        <v>38.220392813669775</v>
      </c>
      <c r="AD13">
        <v>-29.618968167169974</v>
      </c>
      <c r="AE13">
        <v>19.81004306525686</v>
      </c>
    </row>
    <row r="14" spans="1:31" x14ac:dyDescent="0.2">
      <c r="A14" s="16">
        <v>12</v>
      </c>
      <c r="B14" s="16">
        <v>1</v>
      </c>
      <c r="C14" s="16" t="s">
        <v>77</v>
      </c>
      <c r="D14" s="16" t="s">
        <v>233</v>
      </c>
      <c r="E14" s="16" t="s">
        <v>80</v>
      </c>
      <c r="F14">
        <v>48.6</v>
      </c>
      <c r="G14">
        <v>31.044</v>
      </c>
      <c r="H14">
        <v>6.5119999999999996</v>
      </c>
      <c r="I14">
        <v>2.605</v>
      </c>
      <c r="J14" s="34">
        <v>4.05</v>
      </c>
      <c r="K14" s="11">
        <v>2.2662076878944358E-2</v>
      </c>
      <c r="L14" s="11">
        <v>7.2992700729926927E-3</v>
      </c>
      <c r="M14">
        <v>363.04</v>
      </c>
      <c r="N14" s="11">
        <v>18.716854940087075</v>
      </c>
      <c r="O14" s="11">
        <v>1.1688740883450457</v>
      </c>
      <c r="P14" s="11">
        <v>0.17939609236234427</v>
      </c>
      <c r="Q14" s="11">
        <v>0.3588230434718141</v>
      </c>
      <c r="R14">
        <v>0.1653260171720129</v>
      </c>
      <c r="S14">
        <v>31.544775862957678</v>
      </c>
      <c r="T14" s="11">
        <v>186</v>
      </c>
      <c r="U14" s="11">
        <v>0</v>
      </c>
      <c r="V14">
        <v>1.7266615537290406</v>
      </c>
      <c r="W14">
        <v>10.289875240638397</v>
      </c>
      <c r="X14">
        <v>39.771515140848429</v>
      </c>
      <c r="Y14">
        <v>-28.388918200080063</v>
      </c>
      <c r="Z14" s="41">
        <f t="shared" si="0"/>
        <v>23.033764234197829</v>
      </c>
      <c r="AA14">
        <v>1.770054554719624</v>
      </c>
      <c r="AB14">
        <v>9.1804647826460677</v>
      </c>
      <c r="AC14">
        <v>38.94115649528073</v>
      </c>
      <c r="AD14">
        <v>-28.780480874356279</v>
      </c>
      <c r="AE14">
        <v>21.999975306664485</v>
      </c>
    </row>
    <row r="15" spans="1:31" x14ac:dyDescent="0.2">
      <c r="A15" s="16">
        <v>13</v>
      </c>
      <c r="B15" s="16">
        <v>2</v>
      </c>
      <c r="C15" s="16" t="s">
        <v>74</v>
      </c>
      <c r="D15" s="16" t="s">
        <v>231</v>
      </c>
      <c r="E15" s="16" t="s">
        <v>76</v>
      </c>
      <c r="F15">
        <v>30.6</v>
      </c>
      <c r="G15">
        <v>18.899999999999999</v>
      </c>
      <c r="H15">
        <v>5.1859999999999999</v>
      </c>
      <c r="I15">
        <v>1.889</v>
      </c>
      <c r="J15" s="34">
        <v>2.89</v>
      </c>
      <c r="K15" s="11">
        <v>1.1187607573149743E-2</v>
      </c>
      <c r="L15" s="11">
        <v>0.39572471324296138</v>
      </c>
      <c r="M15">
        <v>354.32</v>
      </c>
      <c r="N15" s="11">
        <v>100.43691158669665</v>
      </c>
      <c r="O15" s="11">
        <v>1.5195741322761118</v>
      </c>
      <c r="P15" s="11">
        <v>0.1285266457680255</v>
      </c>
      <c r="Q15" s="11">
        <v>0.42008928521305278</v>
      </c>
      <c r="R15">
        <v>0.25962984987070059</v>
      </c>
      <c r="S15">
        <v>26.544465707963809</v>
      </c>
      <c r="T15" s="11">
        <v>220</v>
      </c>
      <c r="U15" s="11">
        <v>58</v>
      </c>
      <c r="V15">
        <v>1.6210619327095417</v>
      </c>
      <c r="W15">
        <v>6.317299466551666</v>
      </c>
      <c r="X15">
        <v>39.521788593226219</v>
      </c>
      <c r="Y15">
        <v>-29.04655747762461</v>
      </c>
      <c r="Z15" s="41">
        <f t="shared" si="0"/>
        <v>24.380184245747536</v>
      </c>
      <c r="AA15">
        <v>1.7069567440087186</v>
      </c>
      <c r="AB15">
        <v>9.9493053126161293</v>
      </c>
      <c r="AC15">
        <v>38.656822928421981</v>
      </c>
      <c r="AD15">
        <v>-29.443159127890635</v>
      </c>
      <c r="AE15">
        <v>22.646632999989212</v>
      </c>
    </row>
    <row r="16" spans="1:31" x14ac:dyDescent="0.2">
      <c r="A16" s="16">
        <v>14</v>
      </c>
      <c r="B16" s="16">
        <v>2</v>
      </c>
      <c r="C16" s="16" t="s">
        <v>77</v>
      </c>
      <c r="D16" s="16" t="s">
        <v>231</v>
      </c>
      <c r="E16" s="16" t="s">
        <v>76</v>
      </c>
      <c r="F16">
        <v>28.4</v>
      </c>
      <c r="G16">
        <v>24.501999999999999</v>
      </c>
      <c r="H16">
        <v>4.53</v>
      </c>
      <c r="I16">
        <v>2.5619999999999998</v>
      </c>
      <c r="J16" s="34">
        <v>3.65</v>
      </c>
      <c r="K16" s="11">
        <v>4.7045324153757902E-2</v>
      </c>
      <c r="L16" s="11">
        <v>0.98488008342022948</v>
      </c>
      <c r="M16">
        <v>354.45</v>
      </c>
      <c r="N16" s="11">
        <v>28.402882118582635</v>
      </c>
      <c r="O16" s="11">
        <v>1.6003112125705345</v>
      </c>
      <c r="P16" s="11">
        <v>0.122327790973871</v>
      </c>
      <c r="Q16" s="11">
        <v>0.34198304641061567</v>
      </c>
      <c r="R16">
        <v>0.17099873214981126</v>
      </c>
      <c r="S16">
        <v>24.730287888182623</v>
      </c>
      <c r="T16" s="11">
        <v>173</v>
      </c>
      <c r="U16" s="11">
        <v>0</v>
      </c>
      <c r="V16">
        <v>1.5274613424135413</v>
      </c>
      <c r="W16">
        <v>6.7529577797251017</v>
      </c>
      <c r="X16">
        <v>39.049857609838106</v>
      </c>
      <c r="Y16">
        <v>-29.331520418658243</v>
      </c>
      <c r="Z16" s="41">
        <f t="shared" si="0"/>
        <v>25.565201897768119</v>
      </c>
      <c r="AA16">
        <v>1.6593904590972182</v>
      </c>
      <c r="AB16">
        <v>11.072218948771598</v>
      </c>
      <c r="AC16">
        <v>36.32781536280347</v>
      </c>
      <c r="AD16">
        <v>-29.448237647277683</v>
      </c>
      <c r="AE16">
        <v>21.892264815459654</v>
      </c>
    </row>
    <row r="17" spans="1:31" x14ac:dyDescent="0.2">
      <c r="A17" s="16">
        <v>15</v>
      </c>
      <c r="B17" s="16">
        <v>2</v>
      </c>
      <c r="C17" s="16" t="s">
        <v>74</v>
      </c>
      <c r="D17" s="16" t="s">
        <v>232</v>
      </c>
      <c r="E17" s="16" t="s">
        <v>76</v>
      </c>
      <c r="F17">
        <v>32.700000000000003</v>
      </c>
      <c r="G17">
        <v>18.913</v>
      </c>
      <c r="H17">
        <v>3.895</v>
      </c>
      <c r="I17">
        <v>1.5620000000000001</v>
      </c>
      <c r="J17" s="34">
        <v>3.27</v>
      </c>
      <c r="K17" s="11">
        <v>9.7532989099254168E-3</v>
      </c>
      <c r="L17" s="11">
        <v>0.11157455683003123</v>
      </c>
      <c r="M17">
        <v>532.92999999999995</v>
      </c>
      <c r="N17" s="11">
        <v>24.390803854247736</v>
      </c>
      <c r="O17" s="11">
        <v>1.0768068472504295</v>
      </c>
      <c r="P17" s="11">
        <v>0.28119658119658114</v>
      </c>
      <c r="Q17" s="11">
        <v>0.50137745667406064</v>
      </c>
      <c r="R17">
        <v>0.23411910419951049</v>
      </c>
      <c r="S17">
        <v>24.752171698736586</v>
      </c>
      <c r="T17" s="11">
        <v>186</v>
      </c>
      <c r="U17" s="11">
        <v>83</v>
      </c>
      <c r="V17">
        <v>1.9663358733898999</v>
      </c>
      <c r="W17">
        <v>9.5865569891198064</v>
      </c>
      <c r="X17">
        <v>39.006297267688645</v>
      </c>
      <c r="Y17">
        <v>-28.680467747795682</v>
      </c>
      <c r="Z17" s="41">
        <f t="shared" si="0"/>
        <v>19.83704706584183</v>
      </c>
      <c r="AA17">
        <v>1.997136249325266</v>
      </c>
      <c r="AB17">
        <v>9.25989541764765</v>
      </c>
      <c r="AC17">
        <v>38.446560799104368</v>
      </c>
      <c r="AD17">
        <v>-29.58571473559288</v>
      </c>
      <c r="AE17">
        <v>19.250845210031898</v>
      </c>
    </row>
    <row r="18" spans="1:31" x14ac:dyDescent="0.2">
      <c r="A18" s="16">
        <v>16</v>
      </c>
      <c r="B18" s="16">
        <v>2</v>
      </c>
      <c r="C18" s="16" t="s">
        <v>77</v>
      </c>
      <c r="D18" s="16" t="s">
        <v>232</v>
      </c>
      <c r="E18" s="16" t="s">
        <v>76</v>
      </c>
      <c r="F18">
        <v>35.700000000000003</v>
      </c>
      <c r="G18">
        <v>21.75</v>
      </c>
      <c r="H18">
        <v>5.5229999999999997</v>
      </c>
      <c r="I18">
        <v>2.11</v>
      </c>
      <c r="J18" s="34">
        <v>3.34</v>
      </c>
      <c r="K18" s="11">
        <v>1.6924842226047052E-2</v>
      </c>
      <c r="L18" s="11">
        <v>0.43743482794577687</v>
      </c>
      <c r="M18">
        <v>322.61</v>
      </c>
      <c r="N18" s="11">
        <v>12.794118631182789</v>
      </c>
      <c r="O18" s="11">
        <v>1.9761150244507799</v>
      </c>
      <c r="P18" s="11">
        <v>0.14609800362976472</v>
      </c>
      <c r="Q18" s="11">
        <v>0.3174126140555551</v>
      </c>
      <c r="R18">
        <v>0.192143168909297</v>
      </c>
      <c r="S18">
        <v>30.67517889652277</v>
      </c>
      <c r="T18" s="11">
        <v>193</v>
      </c>
      <c r="U18" s="11">
        <v>0</v>
      </c>
      <c r="V18">
        <v>1.6268214745345746</v>
      </c>
      <c r="W18">
        <v>9.7561760575390242</v>
      </c>
      <c r="X18">
        <v>38.568669049911151</v>
      </c>
      <c r="Y18">
        <v>-29.295687725423559</v>
      </c>
      <c r="Z18" s="41">
        <f t="shared" si="0"/>
        <v>23.707991106366144</v>
      </c>
      <c r="AA18">
        <v>1.7301732751426706</v>
      </c>
      <c r="AB18">
        <v>9.8796681141454012</v>
      </c>
      <c r="AC18">
        <v>39.59165510426142</v>
      </c>
      <c r="AD18">
        <v>-29.521579963976237</v>
      </c>
      <c r="AE18">
        <v>22.883057826099343</v>
      </c>
    </row>
    <row r="19" spans="1:31" x14ac:dyDescent="0.2">
      <c r="A19" s="16">
        <v>17</v>
      </c>
      <c r="B19" s="16">
        <v>2</v>
      </c>
      <c r="C19" s="16" t="s">
        <v>74</v>
      </c>
      <c r="D19" s="16" t="s">
        <v>233</v>
      </c>
      <c r="E19" s="16" t="s">
        <v>76</v>
      </c>
      <c r="F19">
        <v>36.4</v>
      </c>
      <c r="G19">
        <v>24.56</v>
      </c>
      <c r="H19">
        <v>5.1180000000000003</v>
      </c>
      <c r="I19">
        <v>2.758</v>
      </c>
      <c r="J19" s="34">
        <v>3.35</v>
      </c>
      <c r="K19" s="11">
        <v>3.2702237521514632E-2</v>
      </c>
      <c r="L19" s="11">
        <v>1.0578727841501563</v>
      </c>
      <c r="M19">
        <v>383.39</v>
      </c>
      <c r="N19" s="11">
        <v>2.8444519239321981</v>
      </c>
      <c r="O19" s="11">
        <v>0.66236819084198717</v>
      </c>
      <c r="P19" s="11">
        <v>0.29767441860465149</v>
      </c>
      <c r="Q19" s="11">
        <v>0.39920493177119426</v>
      </c>
      <c r="R19">
        <v>0.21605191892607273</v>
      </c>
      <c r="S19">
        <v>30.37503037503037</v>
      </c>
      <c r="T19" s="11">
        <v>256</v>
      </c>
      <c r="U19" s="11">
        <v>103</v>
      </c>
      <c r="V19">
        <v>1.7242690483539578</v>
      </c>
      <c r="W19">
        <v>10.897034408349761</v>
      </c>
      <c r="X19">
        <v>38.742521641819636</v>
      </c>
      <c r="Y19">
        <v>-29.348244253480853</v>
      </c>
      <c r="Z19" s="41">
        <f t="shared" si="0"/>
        <v>22.468953832236611</v>
      </c>
      <c r="AA19">
        <v>1.8159804995010089</v>
      </c>
      <c r="AB19">
        <v>9.1585174768974689</v>
      </c>
      <c r="AC19">
        <v>35.091507629871202</v>
      </c>
      <c r="AD19">
        <v>-29.497484116460186</v>
      </c>
      <c r="AE19">
        <v>19.323724918584517</v>
      </c>
    </row>
    <row r="20" spans="1:31" x14ac:dyDescent="0.2">
      <c r="A20" s="16">
        <v>18</v>
      </c>
      <c r="B20" s="16">
        <v>2</v>
      </c>
      <c r="C20" s="16" t="s">
        <v>77</v>
      </c>
      <c r="D20" s="16" t="s">
        <v>233</v>
      </c>
      <c r="E20" s="16" t="s">
        <v>76</v>
      </c>
      <c r="F20">
        <v>43.2</v>
      </c>
      <c r="G20">
        <v>26.945</v>
      </c>
      <c r="H20">
        <v>6.6639999999999997</v>
      </c>
      <c r="I20">
        <v>2.496</v>
      </c>
      <c r="J20" s="34">
        <v>2.85</v>
      </c>
      <c r="K20" s="11">
        <v>1.1187607573149743E-2</v>
      </c>
      <c r="L20" s="11">
        <v>0.12982273201251299</v>
      </c>
      <c r="M20">
        <v>491.71999999999997</v>
      </c>
      <c r="N20" s="11">
        <v>2.635344459900991</v>
      </c>
      <c r="O20" s="11">
        <v>2.365617206989199</v>
      </c>
      <c r="P20" s="11">
        <v>0.28071748878923791</v>
      </c>
      <c r="Q20" s="11">
        <v>0.33917931257154588</v>
      </c>
      <c r="R20">
        <v>0.14461328825567768</v>
      </c>
      <c r="S20">
        <v>28.16316375638409</v>
      </c>
      <c r="T20" s="11">
        <v>197</v>
      </c>
      <c r="U20" s="11">
        <v>0</v>
      </c>
      <c r="V20">
        <v>1.6296294580612098</v>
      </c>
      <c r="W20">
        <v>11.84653626842162</v>
      </c>
      <c r="X20">
        <v>39.823208396458895</v>
      </c>
      <c r="Y20">
        <v>-29.185421037868483</v>
      </c>
      <c r="Z20" s="41">
        <f t="shared" si="0"/>
        <v>24.436971361475667</v>
      </c>
      <c r="AA20">
        <v>1.8445545816128495</v>
      </c>
      <c r="AB20">
        <v>10.194190580105397</v>
      </c>
      <c r="AC20">
        <v>36.969615328903515</v>
      </c>
      <c r="AD20">
        <v>-29.405157045089364</v>
      </c>
      <c r="AE20">
        <v>20.042570546531547</v>
      </c>
    </row>
    <row r="21" spans="1:31" x14ac:dyDescent="0.2">
      <c r="A21" s="16">
        <v>19</v>
      </c>
      <c r="B21" s="16">
        <v>2</v>
      </c>
      <c r="C21" s="16" t="s">
        <v>74</v>
      </c>
      <c r="D21" s="16" t="s">
        <v>231</v>
      </c>
      <c r="E21" s="16" t="s">
        <v>80</v>
      </c>
      <c r="F21">
        <v>29</v>
      </c>
      <c r="G21">
        <v>24.78</v>
      </c>
      <c r="H21">
        <v>4.2380000000000004</v>
      </c>
      <c r="I21">
        <v>2.383</v>
      </c>
      <c r="J21" s="34">
        <v>3.36</v>
      </c>
      <c r="K21" s="11">
        <v>4.7045324153757902E-2</v>
      </c>
      <c r="L21" s="11">
        <v>0.86757038581856094</v>
      </c>
      <c r="M21">
        <v>310.70999999999998</v>
      </c>
      <c r="N21" s="11">
        <v>23.942386606080831</v>
      </c>
      <c r="O21" s="11">
        <v>1.1914957515357314</v>
      </c>
      <c r="P21" s="11">
        <v>0.12138728323699476</v>
      </c>
      <c r="Q21" s="11">
        <v>0.35114573599465748</v>
      </c>
      <c r="R21">
        <v>0.2412532930054396</v>
      </c>
      <c r="S21">
        <v>27.386677872114767</v>
      </c>
      <c r="T21" s="11">
        <v>121</v>
      </c>
      <c r="U21" s="11">
        <v>42</v>
      </c>
      <c r="V21">
        <v>1.7520114622448684</v>
      </c>
      <c r="W21">
        <v>9.3660953513138772</v>
      </c>
      <c r="X21">
        <v>39.429165207918267</v>
      </c>
      <c r="Y21">
        <v>-28.817976010668225</v>
      </c>
      <c r="Z21" s="41">
        <f t="shared" si="0"/>
        <v>22.505084046309442</v>
      </c>
      <c r="AA21">
        <v>1.8678687686601949</v>
      </c>
      <c r="AB21">
        <v>11.027548521433456</v>
      </c>
      <c r="AC21">
        <v>37.192285441964124</v>
      </c>
      <c r="AD21">
        <v>-29.165688291539297</v>
      </c>
      <c r="AE21">
        <v>19.911615883294527</v>
      </c>
    </row>
    <row r="22" spans="1:31" x14ac:dyDescent="0.2">
      <c r="A22" s="16">
        <v>20</v>
      </c>
      <c r="B22" s="16">
        <v>2</v>
      </c>
      <c r="C22" s="16" t="s">
        <v>77</v>
      </c>
      <c r="D22" s="16" t="s">
        <v>231</v>
      </c>
      <c r="E22" s="16" t="s">
        <v>80</v>
      </c>
      <c r="F22">
        <v>32.9</v>
      </c>
      <c r="G22">
        <v>22.89</v>
      </c>
      <c r="H22">
        <v>5.2629999999999999</v>
      </c>
      <c r="I22">
        <v>1.964</v>
      </c>
      <c r="J22" s="34">
        <v>2.98</v>
      </c>
      <c r="K22" s="11">
        <v>1.9793459552495705E-2</v>
      </c>
      <c r="L22" s="11">
        <v>0.17935349322210628</v>
      </c>
      <c r="M22">
        <v>303.11</v>
      </c>
      <c r="N22" s="11">
        <v>88.504443826071551</v>
      </c>
      <c r="O22" s="11">
        <v>1.0400102790221486</v>
      </c>
      <c r="P22" s="11">
        <v>0.11054637865311275</v>
      </c>
      <c r="Q22" s="11">
        <v>0.31879575659922355</v>
      </c>
      <c r="R22">
        <v>0.15271225833502267</v>
      </c>
      <c r="S22">
        <v>30.999308455955848</v>
      </c>
      <c r="T22" s="11">
        <v>169</v>
      </c>
      <c r="U22" s="11">
        <v>0</v>
      </c>
      <c r="V22">
        <v>1.5536902317849577</v>
      </c>
      <c r="W22">
        <v>9.1072424733078083</v>
      </c>
      <c r="X22">
        <v>39.632301510612194</v>
      </c>
      <c r="Y22">
        <v>-28.526608136626642</v>
      </c>
      <c r="Z22" s="41">
        <f t="shared" si="0"/>
        <v>25.508496288272731</v>
      </c>
      <c r="AA22">
        <v>1.695820019900186</v>
      </c>
      <c r="AB22">
        <v>10.948963762870248</v>
      </c>
      <c r="AC22">
        <v>38.715810201910635</v>
      </c>
      <c r="AD22">
        <v>-28.824755776594188</v>
      </c>
      <c r="AE22">
        <v>22.830141021798646</v>
      </c>
    </row>
    <row r="23" spans="1:31" x14ac:dyDescent="0.2">
      <c r="A23" s="16">
        <v>21</v>
      </c>
      <c r="B23" s="16">
        <v>2</v>
      </c>
      <c r="C23" s="16" t="s">
        <v>74</v>
      </c>
      <c r="D23" s="16" t="s">
        <v>232</v>
      </c>
      <c r="E23" s="16" t="s">
        <v>80</v>
      </c>
      <c r="F23">
        <v>37.200000000000003</v>
      </c>
      <c r="G23">
        <v>21.065999999999999</v>
      </c>
      <c r="H23">
        <v>4.6849999999999996</v>
      </c>
      <c r="I23">
        <v>1.8069999999999999</v>
      </c>
      <c r="J23" s="34">
        <v>3.36</v>
      </c>
      <c r="K23" s="11">
        <v>2.2662076878944358E-2</v>
      </c>
      <c r="L23" s="11">
        <v>1.4593326381647549</v>
      </c>
      <c r="M23">
        <v>389.98</v>
      </c>
      <c r="N23" s="11">
        <v>8.4978546541427882</v>
      </c>
      <c r="O23" s="11">
        <v>1.682393631376395</v>
      </c>
      <c r="P23" s="11">
        <v>0.21123321123321082</v>
      </c>
      <c r="Q23" s="11">
        <v>0.48608705861633728</v>
      </c>
      <c r="R23">
        <v>0.26025657585983092</v>
      </c>
      <c r="S23">
        <v>29.463391532357051</v>
      </c>
      <c r="T23" s="11">
        <v>191</v>
      </c>
      <c r="U23" s="11">
        <v>85</v>
      </c>
      <c r="V23">
        <v>1.8841498942863557</v>
      </c>
      <c r="W23">
        <v>8.3474570437307385</v>
      </c>
      <c r="X23">
        <v>38.61871950604894</v>
      </c>
      <c r="Y23">
        <v>-29.058243273567214</v>
      </c>
      <c r="Z23" s="41">
        <f t="shared" si="0"/>
        <v>20.496628014129545</v>
      </c>
      <c r="AA23">
        <v>1.8783583197603451</v>
      </c>
      <c r="AB23">
        <v>9.2540006591345421</v>
      </c>
      <c r="AC23">
        <v>39.544233455040484</v>
      </c>
      <c r="AD23">
        <v>-29.491967502560801</v>
      </c>
      <c r="AE23">
        <v>21.052550537900473</v>
      </c>
    </row>
    <row r="24" spans="1:31" x14ac:dyDescent="0.2">
      <c r="A24" s="16">
        <v>22</v>
      </c>
      <c r="B24" s="16">
        <v>2</v>
      </c>
      <c r="C24" s="16" t="s">
        <v>77</v>
      </c>
      <c r="D24" s="16" t="s">
        <v>232</v>
      </c>
      <c r="E24" s="16" t="s">
        <v>80</v>
      </c>
      <c r="F24">
        <v>41.8</v>
      </c>
      <c r="G24">
        <v>26.513999999999999</v>
      </c>
      <c r="H24">
        <v>6.2069999999999999</v>
      </c>
      <c r="I24">
        <v>2.444</v>
      </c>
      <c r="J24" s="34">
        <v>4.13</v>
      </c>
      <c r="K24" s="11">
        <v>4.7045324153757902E-2</v>
      </c>
      <c r="L24" s="11">
        <v>0.30709071949947869</v>
      </c>
      <c r="M24">
        <v>288.72000000000003</v>
      </c>
      <c r="N24" s="11">
        <v>2.4466756973686055</v>
      </c>
      <c r="O24" s="11">
        <v>1.301715582415734</v>
      </c>
      <c r="P24" s="11">
        <v>0.14334862385321104</v>
      </c>
      <c r="Q24" s="11">
        <v>0.32222189608669988</v>
      </c>
      <c r="R24">
        <v>0.14830626341417708</v>
      </c>
      <c r="S24">
        <v>37.456569873072816</v>
      </c>
      <c r="T24" s="11">
        <v>150</v>
      </c>
      <c r="U24" s="11">
        <v>0</v>
      </c>
      <c r="V24">
        <v>1.6691675846385268</v>
      </c>
      <c r="W24">
        <v>6.6404087659516771</v>
      </c>
      <c r="X24">
        <v>39.313503297988639</v>
      </c>
      <c r="Y24">
        <v>-28.835956154996282</v>
      </c>
      <c r="Z24" s="41">
        <f t="shared" si="0"/>
        <v>23.552759866530916</v>
      </c>
      <c r="AA24">
        <v>1.7624209222249676</v>
      </c>
      <c r="AB24">
        <v>9.9505008991559656</v>
      </c>
      <c r="AC24">
        <v>39.184641654904219</v>
      </c>
      <c r="AD24">
        <v>-29.022922611673657</v>
      </c>
      <c r="AE24">
        <v>22.233418339947747</v>
      </c>
    </row>
    <row r="25" spans="1:31" x14ac:dyDescent="0.2">
      <c r="A25" s="16">
        <v>23</v>
      </c>
      <c r="B25" s="16">
        <v>2</v>
      </c>
      <c r="C25" s="16" t="s">
        <v>74</v>
      </c>
      <c r="D25" s="16" t="s">
        <v>233</v>
      </c>
      <c r="E25" s="16" t="s">
        <v>80</v>
      </c>
      <c r="F25">
        <v>36.6</v>
      </c>
      <c r="G25">
        <v>26.599</v>
      </c>
      <c r="H25">
        <v>5.109</v>
      </c>
      <c r="I25">
        <v>2.2040000000000002</v>
      </c>
      <c r="J25" s="34">
        <v>3.89</v>
      </c>
      <c r="K25" s="11">
        <v>2.2662076878944358E-2</v>
      </c>
      <c r="L25" s="11">
        <v>1.7726798748696489E-2</v>
      </c>
      <c r="M25">
        <v>457.21999999999997</v>
      </c>
      <c r="N25" s="11">
        <v>16.081056522593457</v>
      </c>
      <c r="O25" s="11">
        <v>2.1834683050538604</v>
      </c>
      <c r="P25" s="11">
        <v>0.29972375690607767</v>
      </c>
      <c r="Q25" s="11">
        <v>0.49387208768498653</v>
      </c>
      <c r="R25">
        <v>0.2496500220769784</v>
      </c>
      <c r="S25">
        <v>36.421911421911425</v>
      </c>
      <c r="T25" s="11">
        <v>291</v>
      </c>
      <c r="U25" s="11">
        <v>126</v>
      </c>
      <c r="V25">
        <v>1.9068717438747218</v>
      </c>
      <c r="W25">
        <v>8.4726659432051914</v>
      </c>
      <c r="X25">
        <v>38.598318527138964</v>
      </c>
      <c r="Y25">
        <v>-28.518533030038913</v>
      </c>
      <c r="Z25" s="41">
        <f t="shared" si="0"/>
        <v>20.241696197515637</v>
      </c>
      <c r="AA25">
        <v>1.811141783274798</v>
      </c>
      <c r="AB25">
        <v>7.2552643928194094</v>
      </c>
      <c r="AC25">
        <v>38.74266816180279</v>
      </c>
      <c r="AD25">
        <v>-28.971544484205147</v>
      </c>
      <c r="AE25">
        <v>21.391294993896402</v>
      </c>
    </row>
    <row r="26" spans="1:31" x14ac:dyDescent="0.2">
      <c r="A26" s="16">
        <v>24</v>
      </c>
      <c r="B26" s="16">
        <v>2</v>
      </c>
      <c r="C26" s="16" t="s">
        <v>77</v>
      </c>
      <c r="D26" s="16" t="s">
        <v>233</v>
      </c>
      <c r="E26" s="16" t="s">
        <v>80</v>
      </c>
      <c r="F26">
        <v>47.3</v>
      </c>
      <c r="G26">
        <v>31.094999999999999</v>
      </c>
      <c r="H26">
        <v>6.23</v>
      </c>
      <c r="I26">
        <v>2.5950000000000002</v>
      </c>
      <c r="J26" s="34">
        <v>3.59</v>
      </c>
      <c r="K26" s="11">
        <v>2.2662076878944358E-2</v>
      </c>
      <c r="L26" s="11">
        <v>0</v>
      </c>
      <c r="M26">
        <v>389.75</v>
      </c>
      <c r="N26" s="11">
        <v>11.659596418959392</v>
      </c>
      <c r="O26" s="11">
        <v>2.2557168686928346</v>
      </c>
      <c r="P26" s="11">
        <v>0.22148394241417504</v>
      </c>
      <c r="Q26" s="11">
        <v>0.32216843124696948</v>
      </c>
      <c r="R26">
        <v>0.16523045300023717</v>
      </c>
      <c r="S26">
        <v>32.121362396591749</v>
      </c>
      <c r="T26" s="11">
        <v>148</v>
      </c>
      <c r="U26" s="11">
        <v>0</v>
      </c>
      <c r="V26">
        <v>1.682369073529967</v>
      </c>
      <c r="W26">
        <v>10.520291700895836</v>
      </c>
      <c r="X26">
        <v>39.32271022191258</v>
      </c>
      <c r="Y26">
        <v>-28.301580588992948</v>
      </c>
      <c r="Z26" s="41">
        <f t="shared" si="0"/>
        <v>23.373414811653188</v>
      </c>
      <c r="AA26">
        <v>1.8376788069791354</v>
      </c>
      <c r="AB26">
        <v>8.986927963803458</v>
      </c>
      <c r="AC26">
        <v>38.556550434488798</v>
      </c>
      <c r="AD26">
        <v>-28.358729701783357</v>
      </c>
      <c r="AE26">
        <v>20.981115028403632</v>
      </c>
    </row>
    <row r="27" spans="1:31" x14ac:dyDescent="0.2">
      <c r="A27" s="16">
        <v>25</v>
      </c>
      <c r="B27" s="16">
        <v>3</v>
      </c>
      <c r="C27" s="16" t="s">
        <v>74</v>
      </c>
      <c r="D27" s="16" t="s">
        <v>231</v>
      </c>
      <c r="E27" s="16" t="s">
        <v>76</v>
      </c>
      <c r="F27">
        <v>30.1</v>
      </c>
      <c r="G27">
        <v>18.768999999999998</v>
      </c>
      <c r="H27">
        <v>4.6849999999999996</v>
      </c>
      <c r="I27">
        <v>1.984</v>
      </c>
      <c r="J27" s="34">
        <v>3.35</v>
      </c>
      <c r="K27" s="11">
        <v>4.274239816408492E-2</v>
      </c>
      <c r="L27" s="11">
        <v>0.83368091762252339</v>
      </c>
      <c r="M27">
        <v>320.60000000000002</v>
      </c>
      <c r="N27" s="11">
        <v>101.89816125382133</v>
      </c>
      <c r="O27" s="11">
        <v>2.0574568339454196</v>
      </c>
      <c r="P27" s="11">
        <v>0.11950286806883365</v>
      </c>
      <c r="Q27" s="11">
        <v>0.39711962778578225</v>
      </c>
      <c r="R27">
        <v>0.25524519655530631</v>
      </c>
      <c r="S27">
        <v>28.268091851906881</v>
      </c>
      <c r="T27" s="11">
        <v>194</v>
      </c>
      <c r="U27" s="11">
        <v>76</v>
      </c>
      <c r="V27" t="s">
        <v>84</v>
      </c>
      <c r="W27" t="s">
        <v>84</v>
      </c>
      <c r="X27" t="s">
        <v>84</v>
      </c>
      <c r="Y27" t="s">
        <v>84</v>
      </c>
      <c r="Z27" s="41" t="s">
        <v>84</v>
      </c>
      <c r="AA27">
        <v>1.7648820207739377</v>
      </c>
      <c r="AB27">
        <v>11.653104067345973</v>
      </c>
      <c r="AC27">
        <v>38.017676563090234</v>
      </c>
      <c r="AD27">
        <v>-28.906313887962604</v>
      </c>
      <c r="AE27">
        <v>21.541199987078279</v>
      </c>
    </row>
    <row r="28" spans="1:31" x14ac:dyDescent="0.2">
      <c r="A28" s="16">
        <v>26</v>
      </c>
      <c r="B28" s="16">
        <v>3</v>
      </c>
      <c r="C28" s="16" t="s">
        <v>77</v>
      </c>
      <c r="D28" s="16" t="s">
        <v>231</v>
      </c>
      <c r="E28" s="16" t="s">
        <v>76</v>
      </c>
      <c r="F28">
        <v>30.2</v>
      </c>
      <c r="G28">
        <v>23.446999999999999</v>
      </c>
      <c r="H28">
        <v>5.141</v>
      </c>
      <c r="I28">
        <v>2.4950000000000001</v>
      </c>
      <c r="J28" s="34">
        <v>3.71</v>
      </c>
      <c r="K28" s="11">
        <v>1.4056224899598397E-2</v>
      </c>
      <c r="L28" s="11">
        <v>0.72158498435870699</v>
      </c>
      <c r="M28">
        <v>330.27</v>
      </c>
      <c r="N28" s="11">
        <v>4.052806731111624</v>
      </c>
      <c r="O28" s="11">
        <v>0.7744835129612252</v>
      </c>
      <c r="P28" s="11">
        <v>0.11221719457013592</v>
      </c>
      <c r="Q28" s="11">
        <v>0.33112539584699024</v>
      </c>
      <c r="R28">
        <v>0.16025049782659079</v>
      </c>
      <c r="S28">
        <v>31.297308525031291</v>
      </c>
      <c r="T28" s="11">
        <v>181</v>
      </c>
      <c r="U28" s="11">
        <v>0</v>
      </c>
      <c r="V28" t="s">
        <v>84</v>
      </c>
      <c r="W28" t="s">
        <v>84</v>
      </c>
      <c r="X28" t="s">
        <v>84</v>
      </c>
      <c r="Y28" t="s">
        <v>84</v>
      </c>
      <c r="Z28" s="41" t="s">
        <v>84</v>
      </c>
      <c r="AA28">
        <v>1.7020630357887934</v>
      </c>
      <c r="AB28">
        <v>9.9430916934931215</v>
      </c>
      <c r="AC28">
        <v>37.438840121155017</v>
      </c>
      <c r="AD28">
        <v>-28.682055220688838</v>
      </c>
      <c r="AE28">
        <v>21.996153687577497</v>
      </c>
    </row>
    <row r="29" spans="1:31" x14ac:dyDescent="0.2">
      <c r="A29" s="16">
        <v>27</v>
      </c>
      <c r="B29" s="16">
        <v>3</v>
      </c>
      <c r="C29" s="16" t="s">
        <v>74</v>
      </c>
      <c r="D29" s="16" t="s">
        <v>232</v>
      </c>
      <c r="E29" s="16" t="s">
        <v>76</v>
      </c>
      <c r="F29">
        <v>34</v>
      </c>
      <c r="G29">
        <v>24.687000000000001</v>
      </c>
      <c r="H29">
        <v>4.7149999999999999</v>
      </c>
      <c r="I29">
        <v>2.04</v>
      </c>
      <c r="J29" s="34">
        <v>2.58</v>
      </c>
      <c r="K29" s="11">
        <v>8.3189902467010884E-3</v>
      </c>
      <c r="L29" s="11">
        <v>7.5078206465067757E-2</v>
      </c>
      <c r="M29">
        <v>477.6</v>
      </c>
      <c r="N29" s="11">
        <v>13.791045015322391</v>
      </c>
      <c r="O29" s="11">
        <v>0.83673778577146662</v>
      </c>
      <c r="P29" s="11">
        <v>0.2553459119496857</v>
      </c>
      <c r="Q29" s="11">
        <v>0.4593250086175984</v>
      </c>
      <c r="R29">
        <v>0.21382572914381176</v>
      </c>
      <c r="S29">
        <v>22.796075427654372</v>
      </c>
      <c r="T29" s="11">
        <v>207</v>
      </c>
      <c r="U29" s="11">
        <v>93</v>
      </c>
      <c r="V29">
        <v>1.8975655587301337</v>
      </c>
      <c r="W29">
        <v>10.475889966803114</v>
      </c>
      <c r="X29">
        <v>38.987980431169014</v>
      </c>
      <c r="Y29">
        <v>-28.231633924337444</v>
      </c>
      <c r="Z29" s="41">
        <f t="shared" si="0"/>
        <v>20.546315383833214</v>
      </c>
      <c r="AA29">
        <v>1.8594850212767684</v>
      </c>
      <c r="AB29">
        <v>7.8455584718081912</v>
      </c>
      <c r="AC29">
        <v>37.188646083605434</v>
      </c>
      <c r="AD29">
        <v>-28.781311333210809</v>
      </c>
      <c r="AE29">
        <v>19.999432992512514</v>
      </c>
    </row>
    <row r="30" spans="1:31" x14ac:dyDescent="0.2">
      <c r="A30" s="16">
        <v>28</v>
      </c>
      <c r="B30" s="16">
        <v>3</v>
      </c>
      <c r="C30" s="16" t="s">
        <v>77</v>
      </c>
      <c r="D30" s="16" t="s">
        <v>232</v>
      </c>
      <c r="E30" s="16" t="s">
        <v>76</v>
      </c>
      <c r="F30">
        <v>37.9</v>
      </c>
      <c r="G30">
        <v>29.393000000000001</v>
      </c>
      <c r="H30">
        <v>5.1639999999999997</v>
      </c>
      <c r="I30">
        <v>2.4849999999999999</v>
      </c>
      <c r="J30" s="34">
        <v>4.33</v>
      </c>
      <c r="K30" s="11">
        <v>3.2702237521514632E-2</v>
      </c>
      <c r="L30" s="11">
        <v>0.76590198123044839</v>
      </c>
      <c r="M30">
        <v>337.88</v>
      </c>
      <c r="N30" s="11">
        <v>9.7225775552415232</v>
      </c>
      <c r="O30" s="11">
        <v>2.656584255439959</v>
      </c>
      <c r="P30" s="11">
        <v>0.2413066385669124</v>
      </c>
      <c r="Q30" s="11">
        <v>0.31979144895276818</v>
      </c>
      <c r="R30">
        <v>0.19146812727332924</v>
      </c>
      <c r="S30">
        <v>25.940275940275942</v>
      </c>
      <c r="T30" s="11">
        <v>196</v>
      </c>
      <c r="U30" s="11">
        <v>0</v>
      </c>
      <c r="V30">
        <v>1.7135968590249782</v>
      </c>
      <c r="W30">
        <v>10.506090101376293</v>
      </c>
      <c r="X30">
        <v>39.262804183822261</v>
      </c>
      <c r="Y30">
        <v>-28.87666782521887</v>
      </c>
      <c r="Z30" s="41">
        <f t="shared" si="0"/>
        <v>22.912509425444711</v>
      </c>
      <c r="AA30">
        <v>1.7297736170956919</v>
      </c>
      <c r="AB30">
        <v>9.6704451401036078</v>
      </c>
      <c r="AC30">
        <v>38.389331485287073</v>
      </c>
      <c r="AD30">
        <v>-29.037122100008123</v>
      </c>
      <c r="AE30">
        <v>22.193269168796299</v>
      </c>
    </row>
    <row r="31" spans="1:31" x14ac:dyDescent="0.2">
      <c r="A31" s="16">
        <v>29</v>
      </c>
      <c r="B31" s="16">
        <v>3</v>
      </c>
      <c r="C31" s="16" t="s">
        <v>74</v>
      </c>
      <c r="D31" s="16" t="s">
        <v>233</v>
      </c>
      <c r="E31" s="16" t="s">
        <v>76</v>
      </c>
      <c r="F31">
        <v>39.700000000000003</v>
      </c>
      <c r="G31">
        <v>25.065000000000001</v>
      </c>
      <c r="H31">
        <v>5.6029999999999998</v>
      </c>
      <c r="I31">
        <v>2.2490000000000001</v>
      </c>
      <c r="J31" s="34">
        <v>3.67</v>
      </c>
      <c r="K31" s="11">
        <v>1.5490533562822725E-2</v>
      </c>
      <c r="L31" s="11">
        <v>2.0855057351407591E-3</v>
      </c>
      <c r="M31">
        <v>475.11</v>
      </c>
      <c r="N31" s="11">
        <v>5.0020635530462023</v>
      </c>
      <c r="O31" s="11">
        <v>1.0158285971443675</v>
      </c>
      <c r="P31" s="11">
        <v>0.30107526881720464</v>
      </c>
      <c r="Q31" s="11">
        <v>0.48530983059545918</v>
      </c>
      <c r="R31">
        <v>0.23383491009390289</v>
      </c>
      <c r="S31">
        <v>29.588621821631531</v>
      </c>
      <c r="T31" s="11">
        <v>272</v>
      </c>
      <c r="U31" s="11">
        <v>137</v>
      </c>
      <c r="V31">
        <v>1.7436250692363007</v>
      </c>
      <c r="W31">
        <v>9.6935979293536771</v>
      </c>
      <c r="X31">
        <v>39.37129410452382</v>
      </c>
      <c r="Y31">
        <v>-28.385608325092235</v>
      </c>
      <c r="Z31" s="41">
        <f t="shared" si="0"/>
        <v>22.580137667880777</v>
      </c>
      <c r="AA31">
        <v>1.9043652875761374</v>
      </c>
      <c r="AB31">
        <v>9.7696054300603503</v>
      </c>
      <c r="AC31">
        <v>37.860314646967488</v>
      </c>
      <c r="AD31">
        <v>-29.038400748640417</v>
      </c>
      <c r="AE31">
        <v>19.880804850815061</v>
      </c>
    </row>
    <row r="32" spans="1:31" x14ac:dyDescent="0.2">
      <c r="A32" s="16">
        <v>30</v>
      </c>
      <c r="B32" s="16">
        <v>3</v>
      </c>
      <c r="C32" s="16" t="s">
        <v>77</v>
      </c>
      <c r="D32" s="16" t="s">
        <v>233</v>
      </c>
      <c r="E32" s="16" t="s">
        <v>76</v>
      </c>
      <c r="F32">
        <v>44</v>
      </c>
      <c r="G32">
        <v>26.52</v>
      </c>
      <c r="H32">
        <v>6.6070000000000002</v>
      </c>
      <c r="I32">
        <v>2.4329999999999998</v>
      </c>
      <c r="J32" s="34">
        <v>3.93</v>
      </c>
      <c r="K32" s="11">
        <v>1.6924842226047052E-2</v>
      </c>
      <c r="L32" s="11">
        <v>0.77111574556830031</v>
      </c>
      <c r="M32">
        <v>316.37</v>
      </c>
      <c r="N32" s="11">
        <v>23.816302689095671</v>
      </c>
      <c r="O32" s="11">
        <v>3.1668732659810406</v>
      </c>
      <c r="P32" s="11">
        <v>0.25443786982248501</v>
      </c>
      <c r="Q32" s="11">
        <v>0.29506223392306058</v>
      </c>
      <c r="R32">
        <v>0.20514442207856703</v>
      </c>
      <c r="S32">
        <v>40.15784333875785</v>
      </c>
      <c r="T32" s="11">
        <v>146</v>
      </c>
      <c r="U32" s="11">
        <v>0</v>
      </c>
      <c r="V32">
        <v>1.6756948649623908</v>
      </c>
      <c r="W32">
        <v>9.8210197328406448</v>
      </c>
      <c r="X32">
        <v>39.574431340241134</v>
      </c>
      <c r="Y32">
        <v>-29.079650579069675</v>
      </c>
      <c r="Z32" s="41">
        <f t="shared" si="0"/>
        <v>23.616728897196531</v>
      </c>
      <c r="AA32">
        <v>1.8592498478560506</v>
      </c>
      <c r="AB32">
        <v>9.9074124492619493</v>
      </c>
      <c r="AC32">
        <v>37.503124162673323</v>
      </c>
      <c r="AD32">
        <v>-29.24568616186578</v>
      </c>
      <c r="AE32">
        <v>20.171105140021471</v>
      </c>
    </row>
    <row r="33" spans="1:31" x14ac:dyDescent="0.2">
      <c r="A33" s="16">
        <v>31</v>
      </c>
      <c r="B33" s="16">
        <v>3</v>
      </c>
      <c r="C33" s="16" t="s">
        <v>74</v>
      </c>
      <c r="D33" s="16" t="s">
        <v>231</v>
      </c>
      <c r="E33" s="16" t="s">
        <v>80</v>
      </c>
      <c r="F33">
        <v>29.1</v>
      </c>
      <c r="G33">
        <v>24.603000000000002</v>
      </c>
      <c r="H33">
        <v>4.4779999999999998</v>
      </c>
      <c r="I33">
        <v>2.363</v>
      </c>
      <c r="J33" s="34">
        <v>2.89</v>
      </c>
      <c r="K33" s="11">
        <v>3.4136546184738957E-2</v>
      </c>
      <c r="L33" s="11">
        <v>0.32012513034410833</v>
      </c>
      <c r="M33">
        <v>348.66</v>
      </c>
      <c r="N33" s="11">
        <v>117.33360235504382</v>
      </c>
      <c r="O33" s="11">
        <v>1.5317984691662605</v>
      </c>
      <c r="P33" s="11">
        <v>0.11067193675889316</v>
      </c>
      <c r="Q33" s="11">
        <v>0.37322064742986699</v>
      </c>
      <c r="R33">
        <v>0.22012609692465807</v>
      </c>
      <c r="S33">
        <v>32.478928582824686</v>
      </c>
      <c r="T33" s="11">
        <v>206</v>
      </c>
      <c r="U33" s="11">
        <v>72</v>
      </c>
      <c r="V33">
        <v>1.6776948899089903</v>
      </c>
      <c r="W33">
        <v>8.2585136728787596</v>
      </c>
      <c r="X33">
        <v>39.244836072026466</v>
      </c>
      <c r="Y33">
        <v>-28.702756307994463</v>
      </c>
      <c r="Z33" s="41">
        <f t="shared" si="0"/>
        <v>23.392117546567349</v>
      </c>
      <c r="AA33">
        <v>1.745498148356486</v>
      </c>
      <c r="AB33">
        <v>9.0899955373339107</v>
      </c>
      <c r="AC33">
        <v>37.306627013264027</v>
      </c>
      <c r="AD33">
        <v>-28.905478226630983</v>
      </c>
      <c r="AE33">
        <v>21.373054476391705</v>
      </c>
    </row>
    <row r="34" spans="1:31" x14ac:dyDescent="0.2">
      <c r="A34" s="16">
        <v>32</v>
      </c>
      <c r="B34" s="16">
        <v>3</v>
      </c>
      <c r="C34" s="16" t="s">
        <v>77</v>
      </c>
      <c r="D34" s="16" t="s">
        <v>231</v>
      </c>
      <c r="E34" s="16" t="s">
        <v>80</v>
      </c>
      <c r="F34">
        <v>32</v>
      </c>
      <c r="G34">
        <v>26.844999999999999</v>
      </c>
      <c r="H34">
        <v>4.7119999999999997</v>
      </c>
      <c r="I34">
        <v>2.4580000000000002</v>
      </c>
      <c r="J34" s="34">
        <v>3.77</v>
      </c>
      <c r="K34" s="11">
        <v>3.7005163511187614E-2</v>
      </c>
      <c r="L34" s="11">
        <v>0.42179353493222105</v>
      </c>
      <c r="M34">
        <v>329.75</v>
      </c>
      <c r="N34" s="11">
        <v>5.9240068982530971</v>
      </c>
      <c r="O34" s="11">
        <v>1.4761655094494996</v>
      </c>
      <c r="P34" s="11">
        <v>0.11288711288711316</v>
      </c>
      <c r="Q34" s="11">
        <v>0.3028559687692623</v>
      </c>
      <c r="R34">
        <v>0.17644104048449957</v>
      </c>
      <c r="S34">
        <v>33.717266726975467</v>
      </c>
      <c r="T34" s="11">
        <v>178</v>
      </c>
      <c r="U34" s="11">
        <v>0</v>
      </c>
      <c r="V34">
        <v>1.6432733518537628</v>
      </c>
      <c r="W34">
        <v>7.1251560627370347</v>
      </c>
      <c r="X34">
        <v>38.879896731275402</v>
      </c>
      <c r="Y34">
        <v>-28.298502029289633</v>
      </c>
      <c r="Z34" s="41">
        <f t="shared" si="0"/>
        <v>23.660029956315739</v>
      </c>
      <c r="AA34">
        <v>1.8030660671293108</v>
      </c>
      <c r="AB34">
        <v>10.805021815576964</v>
      </c>
      <c r="AC34">
        <v>37.839254701441213</v>
      </c>
      <c r="AD34">
        <v>-28.592754833659306</v>
      </c>
      <c r="AE34">
        <v>20.986061127358283</v>
      </c>
    </row>
    <row r="35" spans="1:31" x14ac:dyDescent="0.2">
      <c r="A35" s="16">
        <v>33</v>
      </c>
      <c r="B35" s="16">
        <v>3</v>
      </c>
      <c r="C35" s="16" t="s">
        <v>74</v>
      </c>
      <c r="D35" s="16" t="s">
        <v>232</v>
      </c>
      <c r="E35" s="16" t="s">
        <v>80</v>
      </c>
      <c r="F35">
        <v>35.5</v>
      </c>
      <c r="G35">
        <v>23.721</v>
      </c>
      <c r="H35">
        <v>4.4580000000000002</v>
      </c>
      <c r="I35">
        <v>2.323</v>
      </c>
      <c r="J35" s="34">
        <v>3.8</v>
      </c>
      <c r="K35" s="11">
        <v>3.2702237521514632E-2</v>
      </c>
      <c r="L35" s="11">
        <v>1.4045881126173099</v>
      </c>
      <c r="M35">
        <v>366.12</v>
      </c>
      <c r="N35" s="11">
        <v>7.610573104155864</v>
      </c>
      <c r="O35" s="11">
        <v>1.3290791507234216</v>
      </c>
      <c r="P35" s="11">
        <v>0.21713615023474103</v>
      </c>
      <c r="Q35" s="11">
        <v>0.45757865836472922</v>
      </c>
      <c r="R35">
        <v>0.23005923534055944</v>
      </c>
      <c r="S35">
        <v>28.040037980395834</v>
      </c>
      <c r="T35" s="11">
        <v>198</v>
      </c>
      <c r="U35" s="11">
        <v>83</v>
      </c>
      <c r="V35">
        <v>1.8086483255387702</v>
      </c>
      <c r="W35">
        <v>9.2647702394871825</v>
      </c>
      <c r="X35">
        <v>39.210626298788867</v>
      </c>
      <c r="Y35">
        <v>-28.71966165366025</v>
      </c>
      <c r="Z35" s="41">
        <f t="shared" si="0"/>
        <v>21.679519310150351</v>
      </c>
      <c r="AA35">
        <v>1.806550897748409</v>
      </c>
      <c r="AB35">
        <v>7.3891217474907984</v>
      </c>
      <c r="AC35">
        <v>37.454242831841952</v>
      </c>
      <c r="AD35">
        <v>-29.134858257094681</v>
      </c>
      <c r="AE35">
        <v>20.732459228534868</v>
      </c>
    </row>
    <row r="36" spans="1:31" x14ac:dyDescent="0.2">
      <c r="A36" s="16">
        <v>34</v>
      </c>
      <c r="B36" s="16">
        <v>3</v>
      </c>
      <c r="C36" s="16" t="s">
        <v>77</v>
      </c>
      <c r="D36" s="16" t="s">
        <v>232</v>
      </c>
      <c r="E36" s="16" t="s">
        <v>80</v>
      </c>
      <c r="F36">
        <v>38.5</v>
      </c>
      <c r="G36">
        <v>30.082999999999998</v>
      </c>
      <c r="H36">
        <v>6.1180000000000003</v>
      </c>
      <c r="I36">
        <v>2.6760000000000002</v>
      </c>
      <c r="J36" s="34">
        <v>3.75</v>
      </c>
      <c r="K36" s="11">
        <v>1.262191623637407E-2</v>
      </c>
      <c r="L36" s="11">
        <v>9.0719499478623566E-2</v>
      </c>
      <c r="M36">
        <v>295.82</v>
      </c>
      <c r="N36" s="11">
        <v>12.348036220882053</v>
      </c>
      <c r="O36" s="11">
        <v>1.1994393713959803</v>
      </c>
      <c r="P36" s="11">
        <v>0.14285714285714274</v>
      </c>
      <c r="Q36" s="11">
        <v>0.30538514974512504</v>
      </c>
      <c r="R36">
        <v>0.16691875336827508</v>
      </c>
      <c r="S36">
        <v>30.689593796389907</v>
      </c>
      <c r="T36" s="11">
        <v>194</v>
      </c>
      <c r="U36" s="11">
        <v>0</v>
      </c>
      <c r="V36">
        <v>1.5554762082423337</v>
      </c>
      <c r="W36">
        <v>10.694158835577861</v>
      </c>
      <c r="X36">
        <v>39.756760598954479</v>
      </c>
      <c r="Y36">
        <v>-27.629432868758965</v>
      </c>
      <c r="Z36" s="41">
        <f t="shared" si="0"/>
        <v>25.559221277887023</v>
      </c>
      <c r="AA36">
        <v>1.6139704212311756</v>
      </c>
      <c r="AB36">
        <v>8.4528741166216257</v>
      </c>
      <c r="AC36">
        <v>39.025837558365183</v>
      </c>
      <c r="AD36">
        <v>-27.601481139223061</v>
      </c>
      <c r="AE36">
        <v>24.180020305821547</v>
      </c>
    </row>
    <row r="37" spans="1:31" x14ac:dyDescent="0.2">
      <c r="A37" s="16">
        <v>35</v>
      </c>
      <c r="B37" s="16">
        <v>3</v>
      </c>
      <c r="C37" s="16" t="s">
        <v>74</v>
      </c>
      <c r="D37" s="16" t="s">
        <v>233</v>
      </c>
      <c r="E37" s="16" t="s">
        <v>80</v>
      </c>
      <c r="F37">
        <v>37.5</v>
      </c>
      <c r="G37">
        <v>21.614000000000001</v>
      </c>
      <c r="H37">
        <v>5.8010000000000002</v>
      </c>
      <c r="I37">
        <v>1.8460000000000001</v>
      </c>
      <c r="J37" s="34">
        <v>2.85</v>
      </c>
      <c r="K37" s="11">
        <v>6.8846815834767618E-3</v>
      </c>
      <c r="L37" s="11">
        <v>8.0291970802919693E-2</v>
      </c>
      <c r="M37">
        <v>505.78999999999996</v>
      </c>
      <c r="N37" s="11">
        <v>2.6858508618740449</v>
      </c>
      <c r="O37" s="11">
        <v>0.51555223846013598</v>
      </c>
      <c r="P37" s="11">
        <v>0.27434842249657082</v>
      </c>
      <c r="Q37" s="11">
        <v>0.48931580028765148</v>
      </c>
      <c r="R37">
        <v>0.23233720715735104</v>
      </c>
      <c r="S37">
        <v>29.304115842577378</v>
      </c>
      <c r="T37" s="11">
        <v>214</v>
      </c>
      <c r="U37" s="11">
        <v>93</v>
      </c>
      <c r="V37">
        <v>1.7753518474250403</v>
      </c>
      <c r="W37">
        <v>8.016963859907591</v>
      </c>
      <c r="X37">
        <v>39.167659973276663</v>
      </c>
      <c r="Y37">
        <v>-28.686135305596029</v>
      </c>
      <c r="Z37" s="41">
        <f t="shared" si="0"/>
        <v>22.061914110200298</v>
      </c>
      <c r="AA37">
        <v>1.8958208374198218</v>
      </c>
      <c r="AB37">
        <v>8.0399597989947811</v>
      </c>
      <c r="AC37">
        <v>38.638024900556992</v>
      </c>
      <c r="AD37">
        <v>-29.093474194168035</v>
      </c>
      <c r="AE37">
        <v>20.380630984699298</v>
      </c>
    </row>
    <row r="38" spans="1:31" x14ac:dyDescent="0.2">
      <c r="A38" s="16">
        <v>36</v>
      </c>
      <c r="B38" s="16">
        <v>3</v>
      </c>
      <c r="C38" s="16" t="s">
        <v>77</v>
      </c>
      <c r="D38" s="16" t="s">
        <v>233</v>
      </c>
      <c r="E38" s="16" t="s">
        <v>80</v>
      </c>
      <c r="F38">
        <v>40</v>
      </c>
      <c r="G38">
        <v>26.292000000000002</v>
      </c>
      <c r="H38">
        <v>6.1239999999999997</v>
      </c>
      <c r="I38">
        <v>2.2629999999999999</v>
      </c>
      <c r="J38" s="34">
        <v>2.82</v>
      </c>
      <c r="K38" s="11">
        <v>6.8846815834767618E-3</v>
      </c>
      <c r="L38" s="11">
        <v>0.20020855057351403</v>
      </c>
      <c r="M38">
        <v>480.99</v>
      </c>
      <c r="N38" s="11">
        <v>36.258208554680046</v>
      </c>
      <c r="O38" s="11">
        <v>1.710832937087793</v>
      </c>
      <c r="P38" s="11">
        <v>0.21014492753623193</v>
      </c>
      <c r="Q38" s="11">
        <v>0.27655609289371019</v>
      </c>
      <c r="R38">
        <v>0.12596244517923669</v>
      </c>
      <c r="S38">
        <v>25.663956245569754</v>
      </c>
      <c r="T38" s="11">
        <v>192</v>
      </c>
      <c r="U38" s="11">
        <v>0</v>
      </c>
      <c r="V38">
        <v>1.7293845946356259</v>
      </c>
      <c r="W38">
        <v>9.6372749997707778</v>
      </c>
      <c r="X38">
        <v>39.647073036369108</v>
      </c>
      <c r="Y38">
        <v>-28.513372322367083</v>
      </c>
      <c r="Z38" s="41">
        <f t="shared" si="0"/>
        <v>22.925538459952907</v>
      </c>
      <c r="AA38">
        <v>1.7450400135609199</v>
      </c>
      <c r="AB38">
        <v>11.652612295440743</v>
      </c>
      <c r="AC38">
        <v>38.30260570699685</v>
      </c>
      <c r="AD38">
        <v>-28.997037132757431</v>
      </c>
      <c r="AE38">
        <v>21.94941400159458</v>
      </c>
    </row>
    <row r="39" spans="1:31" x14ac:dyDescent="0.2">
      <c r="A39" s="16">
        <v>37</v>
      </c>
      <c r="B39" s="16">
        <v>4</v>
      </c>
      <c r="C39" s="16" t="s">
        <v>74</v>
      </c>
      <c r="D39" s="16" t="s">
        <v>231</v>
      </c>
      <c r="E39" s="16" t="s">
        <v>76</v>
      </c>
      <c r="F39">
        <v>28.1</v>
      </c>
      <c r="G39">
        <v>24.510999999999999</v>
      </c>
      <c r="H39">
        <v>4.0069999999999997</v>
      </c>
      <c r="I39">
        <v>2.3290000000000002</v>
      </c>
      <c r="J39" s="34">
        <v>3.73</v>
      </c>
      <c r="K39" s="11">
        <v>0.67814113597246117</v>
      </c>
      <c r="L39" s="11">
        <v>0.73201251303441084</v>
      </c>
      <c r="M39">
        <v>346.57</v>
      </c>
      <c r="N39" s="11">
        <v>74.906156187291359</v>
      </c>
      <c r="O39" s="11">
        <v>3.1350140595643157</v>
      </c>
      <c r="P39" s="11">
        <v>0.12854442344045366</v>
      </c>
      <c r="Q39" s="11">
        <v>0.4081707754631404</v>
      </c>
      <c r="R39">
        <v>0.24395349753041118</v>
      </c>
      <c r="S39">
        <v>26.274978746461635</v>
      </c>
      <c r="T39" s="11">
        <v>238</v>
      </c>
      <c r="U39" s="11">
        <v>73</v>
      </c>
      <c r="V39">
        <v>1.7680859654879901</v>
      </c>
      <c r="W39">
        <v>7.7966636582093569</v>
      </c>
      <c r="X39">
        <v>38.376750429871237</v>
      </c>
      <c r="Y39">
        <v>-29.373370787170963</v>
      </c>
      <c r="Z39" s="41">
        <f t="shared" si="0"/>
        <v>21.705251429491035</v>
      </c>
      <c r="AA39">
        <v>1.8211349535723638</v>
      </c>
      <c r="AB39">
        <v>11.537144142433176</v>
      </c>
      <c r="AC39">
        <v>37.933988479347832</v>
      </c>
      <c r="AD39">
        <v>-29.287272947297744</v>
      </c>
      <c r="AE39">
        <v>20.829861293330289</v>
      </c>
    </row>
    <row r="40" spans="1:31" x14ac:dyDescent="0.2">
      <c r="A40" s="16">
        <v>38</v>
      </c>
      <c r="B40" s="16">
        <v>4</v>
      </c>
      <c r="C40" s="16" t="s">
        <v>77</v>
      </c>
      <c r="D40" s="16" t="s">
        <v>231</v>
      </c>
      <c r="E40" s="16" t="s">
        <v>76</v>
      </c>
      <c r="F40">
        <v>29.3</v>
      </c>
      <c r="G40">
        <v>25.713999999999999</v>
      </c>
      <c r="H40">
        <v>5.2080000000000002</v>
      </c>
      <c r="I40">
        <v>2.2519999999999998</v>
      </c>
      <c r="J40" s="34">
        <v>3.39</v>
      </c>
      <c r="K40" s="11">
        <v>3.5570854847963282E-2</v>
      </c>
      <c r="L40" s="11">
        <v>1.1543274244004171</v>
      </c>
      <c r="M40">
        <v>332.01</v>
      </c>
      <c r="N40" s="11">
        <v>96.359998491215663</v>
      </c>
      <c r="O40" s="11">
        <v>2.0237980772442881</v>
      </c>
      <c r="P40" s="11">
        <v>0.12977099236641215</v>
      </c>
      <c r="Q40" s="11">
        <v>0.28337168523097478</v>
      </c>
      <c r="R40">
        <v>0.19695598832289479</v>
      </c>
      <c r="S40">
        <v>31.016092468606434</v>
      </c>
      <c r="T40" s="11">
        <v>201</v>
      </c>
      <c r="U40" s="11">
        <v>0</v>
      </c>
      <c r="V40">
        <v>1.5847859385289393</v>
      </c>
      <c r="W40">
        <v>7.5248318334239075</v>
      </c>
      <c r="X40">
        <v>39.720765876033013</v>
      </c>
      <c r="Y40">
        <v>-28.968243869212987</v>
      </c>
      <c r="Z40" s="41">
        <f t="shared" si="0"/>
        <v>25.063805092127073</v>
      </c>
      <c r="AA40">
        <v>1.7260538022833389</v>
      </c>
      <c r="AB40">
        <v>9.4210205049517537</v>
      </c>
      <c r="AC40">
        <v>37.862618571351526</v>
      </c>
      <c r="AD40">
        <v>-29.177085003832012</v>
      </c>
      <c r="AE40">
        <v>21.935943434245406</v>
      </c>
    </row>
    <row r="41" spans="1:31" x14ac:dyDescent="0.2">
      <c r="A41" s="16">
        <v>39</v>
      </c>
      <c r="B41" s="16">
        <v>4</v>
      </c>
      <c r="C41" s="16" t="s">
        <v>74</v>
      </c>
      <c r="D41" s="16" t="s">
        <v>232</v>
      </c>
      <c r="E41" s="16" t="s">
        <v>76</v>
      </c>
      <c r="F41">
        <v>29.9</v>
      </c>
      <c r="G41">
        <v>20.942</v>
      </c>
      <c r="H41">
        <v>3.9020000000000001</v>
      </c>
      <c r="I41">
        <v>1.8859999999999999</v>
      </c>
      <c r="J41" s="34">
        <v>2.79</v>
      </c>
      <c r="K41" s="11">
        <v>9.7532989099254168E-3</v>
      </c>
      <c r="L41" s="11">
        <v>0.30448383733055268</v>
      </c>
      <c r="M41">
        <v>505.18</v>
      </c>
      <c r="N41" s="11">
        <v>16.44284788508671</v>
      </c>
      <c r="O41" s="11">
        <v>1.5834568720811628</v>
      </c>
      <c r="P41" s="11">
        <v>0.23837784371909046</v>
      </c>
      <c r="Q41" s="11">
        <v>0.51710054435398312</v>
      </c>
      <c r="R41">
        <v>0.22438703493859372</v>
      </c>
      <c r="S41">
        <v>23.625023625023619</v>
      </c>
      <c r="T41" s="11">
        <v>258</v>
      </c>
      <c r="U41" s="11">
        <v>145</v>
      </c>
      <c r="V41">
        <v>1.8627835636708823</v>
      </c>
      <c r="W41">
        <v>8.642871867378549</v>
      </c>
      <c r="X41">
        <v>38.713689637274939</v>
      </c>
      <c r="Y41">
        <v>-29.196375875066025</v>
      </c>
      <c r="Z41" s="41">
        <f t="shared" si="0"/>
        <v>20.782709485037575</v>
      </c>
      <c r="AA41">
        <v>1.8710158868371844</v>
      </c>
      <c r="AB41">
        <v>8.835970037913583</v>
      </c>
      <c r="AC41">
        <v>36.549864412314264</v>
      </c>
      <c r="AD41">
        <v>-29.497835183004316</v>
      </c>
      <c r="AE41">
        <v>19.534769677503455</v>
      </c>
    </row>
    <row r="42" spans="1:31" x14ac:dyDescent="0.2">
      <c r="A42" s="16">
        <v>40</v>
      </c>
      <c r="B42" s="16">
        <v>4</v>
      </c>
      <c r="C42" s="16" t="s">
        <v>77</v>
      </c>
      <c r="D42" s="16" t="s">
        <v>232</v>
      </c>
      <c r="E42" s="16" t="s">
        <v>76</v>
      </c>
      <c r="F42">
        <v>34.6</v>
      </c>
      <c r="G42">
        <v>30.306000000000001</v>
      </c>
      <c r="H42">
        <v>3.847</v>
      </c>
      <c r="I42">
        <v>2.1440000000000001</v>
      </c>
      <c r="J42" s="34">
        <v>4.09</v>
      </c>
      <c r="K42" s="11">
        <v>2.6965002868617322E-2</v>
      </c>
      <c r="L42" s="11">
        <v>0.76590198123044839</v>
      </c>
      <c r="M42">
        <v>410.46999999999997</v>
      </c>
      <c r="N42" s="11">
        <v>3.3543425120626575</v>
      </c>
      <c r="O42" s="11">
        <v>3.7172903622473665</v>
      </c>
      <c r="P42" s="11">
        <v>0.2795698924731182</v>
      </c>
      <c r="Q42" s="11">
        <v>0.35059409562659422</v>
      </c>
      <c r="R42">
        <v>0.17956120116276805</v>
      </c>
      <c r="S42">
        <v>33.084261599886595</v>
      </c>
      <c r="T42" s="11">
        <v>176</v>
      </c>
      <c r="U42" s="11">
        <v>0</v>
      </c>
      <c r="V42">
        <v>1.9445422977131421</v>
      </c>
      <c r="W42">
        <v>9.4827478188518377</v>
      </c>
      <c r="X42">
        <v>39.586002084726353</v>
      </c>
      <c r="Y42">
        <v>-29.364961629532505</v>
      </c>
      <c r="Z42" s="41">
        <f t="shared" si="0"/>
        <v>20.357490876532253</v>
      </c>
      <c r="AA42">
        <v>1.7315604528342861</v>
      </c>
      <c r="AB42">
        <v>8.1977313156302998</v>
      </c>
      <c r="AC42">
        <v>39.606642073255074</v>
      </c>
      <c r="AD42">
        <v>-29.529932646221926</v>
      </c>
      <c r="AE42">
        <v>22.873381064129394</v>
      </c>
    </row>
    <row r="43" spans="1:31" x14ac:dyDescent="0.2">
      <c r="A43" s="16">
        <v>41</v>
      </c>
      <c r="B43" s="16">
        <v>4</v>
      </c>
      <c r="C43" s="16" t="s">
        <v>74</v>
      </c>
      <c r="D43" s="16" t="s">
        <v>233</v>
      </c>
      <c r="E43" s="16" t="s">
        <v>76</v>
      </c>
      <c r="F43">
        <v>40.799999999999997</v>
      </c>
      <c r="G43">
        <v>21.294</v>
      </c>
      <c r="H43">
        <v>5.47</v>
      </c>
      <c r="I43">
        <v>1.9330000000000001</v>
      </c>
      <c r="J43" s="34">
        <v>3.29</v>
      </c>
      <c r="K43" s="11">
        <v>1.4056224899598397E-2</v>
      </c>
      <c r="L43" s="11">
        <v>0.10636079249217929</v>
      </c>
      <c r="M43">
        <v>520.88</v>
      </c>
      <c r="N43" s="11">
        <v>4.1971867669361433</v>
      </c>
      <c r="O43" s="11">
        <v>1.442221818141278</v>
      </c>
      <c r="P43" s="11">
        <v>0.296037296037296</v>
      </c>
      <c r="Q43" s="11">
        <v>0.45497395327756018</v>
      </c>
      <c r="R43">
        <v>0.2183408468906386</v>
      </c>
      <c r="S43">
        <v>27.333602914998263</v>
      </c>
      <c r="T43" s="11">
        <v>238</v>
      </c>
      <c r="U43" s="11">
        <v>135</v>
      </c>
      <c r="V43">
        <v>1.8200432316555666</v>
      </c>
      <c r="W43">
        <v>9.9711498678555639</v>
      </c>
      <c r="X43">
        <v>39.092762248242032</v>
      </c>
      <c r="Y43">
        <v>-28.989880511242358</v>
      </c>
      <c r="Z43" s="41">
        <f t="shared" si="0"/>
        <v>21.479029491339098</v>
      </c>
      <c r="AA43">
        <v>1.8632619357996272</v>
      </c>
      <c r="AB43">
        <v>9.6335165059245824</v>
      </c>
      <c r="AC43">
        <v>38.703815217274794</v>
      </c>
      <c r="AD43">
        <v>-29.608865114774421</v>
      </c>
      <c r="AE43">
        <v>20.77207421760853</v>
      </c>
    </row>
    <row r="44" spans="1:31" x14ac:dyDescent="0.2">
      <c r="A44" s="16">
        <v>42</v>
      </c>
      <c r="B44" s="16">
        <v>4</v>
      </c>
      <c r="C44" s="16" t="s">
        <v>77</v>
      </c>
      <c r="D44" s="16" t="s">
        <v>233</v>
      </c>
      <c r="E44" s="16" t="s">
        <v>76</v>
      </c>
      <c r="F44">
        <v>37.1</v>
      </c>
      <c r="G44">
        <v>30.623000000000001</v>
      </c>
      <c r="H44">
        <v>5.9320000000000004</v>
      </c>
      <c r="I44">
        <v>2.8959999999999999</v>
      </c>
      <c r="J44" s="34">
        <v>3.67</v>
      </c>
      <c r="K44" s="11">
        <v>2.4096385542168686E-2</v>
      </c>
      <c r="L44" s="11">
        <v>0.99791449426485934</v>
      </c>
      <c r="M44">
        <v>316.87</v>
      </c>
      <c r="N44" s="11">
        <v>14.017840064302534</v>
      </c>
      <c r="O44" s="11">
        <v>2.7608178020985545</v>
      </c>
      <c r="P44" s="11">
        <v>0.28215353938185433</v>
      </c>
      <c r="Q44" s="11">
        <v>0.29169374756271937</v>
      </c>
      <c r="R44">
        <v>0.20402341430764592</v>
      </c>
      <c r="S44">
        <v>34.832340335186636</v>
      </c>
      <c r="T44" s="11">
        <v>161</v>
      </c>
      <c r="U44" s="11">
        <v>0</v>
      </c>
      <c r="V44">
        <v>1.6731112073810124</v>
      </c>
      <c r="W44">
        <v>9.9728672216923826</v>
      </c>
      <c r="X44">
        <v>39.450833781246054</v>
      </c>
      <c r="Y44">
        <v>-29.381732700780073</v>
      </c>
      <c r="Z44" s="41">
        <f t="shared" si="0"/>
        <v>23.579325514769586</v>
      </c>
      <c r="AA44">
        <v>1.5779422279959991</v>
      </c>
      <c r="AB44">
        <v>9.7912388423829277</v>
      </c>
      <c r="AC44">
        <v>38.213495832567965</v>
      </c>
      <c r="AD44">
        <v>-29.394673361236844</v>
      </c>
      <c r="AE44">
        <v>24.21729715738671</v>
      </c>
    </row>
    <row r="45" spans="1:31" x14ac:dyDescent="0.2">
      <c r="A45" s="16">
        <v>43</v>
      </c>
      <c r="B45" s="16">
        <v>4</v>
      </c>
      <c r="C45" s="16" t="s">
        <v>74</v>
      </c>
      <c r="D45" s="16" t="s">
        <v>231</v>
      </c>
      <c r="E45" s="16" t="s">
        <v>80</v>
      </c>
      <c r="F45">
        <v>29</v>
      </c>
      <c r="G45">
        <v>26.902999999999999</v>
      </c>
      <c r="H45">
        <v>4.375</v>
      </c>
      <c r="I45">
        <v>2.5950000000000002</v>
      </c>
      <c r="J45" s="34">
        <v>4.59</v>
      </c>
      <c r="K45" s="11">
        <v>2.4096385542168686E-2</v>
      </c>
      <c r="L45" s="11">
        <v>0.37747653806047965</v>
      </c>
      <c r="M45">
        <v>247.28</v>
      </c>
      <c r="N45" s="11">
        <v>8.3842804889112426</v>
      </c>
      <c r="O45" s="11">
        <v>0.89495970599550423</v>
      </c>
      <c r="P45" s="11">
        <v>0.12499999999999953</v>
      </c>
      <c r="Q45" s="11">
        <v>0.31393303634930914</v>
      </c>
      <c r="R45">
        <v>0.24572215470659506</v>
      </c>
      <c r="S45">
        <v>37.267006674272452</v>
      </c>
      <c r="T45" s="11">
        <v>199</v>
      </c>
      <c r="U45" s="11">
        <v>57</v>
      </c>
      <c r="V45">
        <v>1.745335022073925</v>
      </c>
      <c r="W45">
        <v>7.5040168698132055</v>
      </c>
      <c r="X45">
        <v>38.402004977855299</v>
      </c>
      <c r="Y45">
        <v>-27.770630393635976</v>
      </c>
      <c r="Z45" s="41">
        <f t="shared" si="0"/>
        <v>22.002655359670399</v>
      </c>
      <c r="AA45">
        <v>1.7138621287838809</v>
      </c>
      <c r="AB45">
        <v>8.1385509910739167</v>
      </c>
      <c r="AC45">
        <v>39.861848669277627</v>
      </c>
      <c r="AD45">
        <v>-27.236633023770622</v>
      </c>
      <c r="AE45">
        <v>23.258492033756955</v>
      </c>
    </row>
    <row r="46" spans="1:31" x14ac:dyDescent="0.2">
      <c r="A46" s="16">
        <v>44</v>
      </c>
      <c r="B46" s="16">
        <v>4</v>
      </c>
      <c r="C46" s="16" t="s">
        <v>77</v>
      </c>
      <c r="D46" s="16" t="s">
        <v>231</v>
      </c>
      <c r="E46" s="16" t="s">
        <v>80</v>
      </c>
      <c r="F46">
        <v>35.299999999999997</v>
      </c>
      <c r="G46">
        <v>26.56</v>
      </c>
      <c r="H46">
        <v>4.6390000000000002</v>
      </c>
      <c r="I46">
        <v>2.194</v>
      </c>
      <c r="J46" s="34">
        <v>3.83</v>
      </c>
      <c r="K46" s="11">
        <v>0.10154905335628228</v>
      </c>
      <c r="L46" s="11">
        <v>1.3602711157455685</v>
      </c>
      <c r="M46">
        <v>302.27999999999997</v>
      </c>
      <c r="N46" s="11">
        <v>27.094135959195992</v>
      </c>
      <c r="O46" s="11">
        <v>1.7203737639398793</v>
      </c>
      <c r="P46" s="11">
        <v>0.11556240369799692</v>
      </c>
      <c r="Q46" s="11">
        <v>0.29120766227813688</v>
      </c>
      <c r="R46">
        <v>0.15435255737859016</v>
      </c>
      <c r="S46">
        <v>28.864990624072842</v>
      </c>
      <c r="T46" s="11">
        <v>206</v>
      </c>
      <c r="U46" s="11">
        <v>0</v>
      </c>
      <c r="V46">
        <v>1.6788229362437064</v>
      </c>
      <c r="W46">
        <v>7.7622989571637735</v>
      </c>
      <c r="X46">
        <v>39.13291979588773</v>
      </c>
      <c r="Y46">
        <v>-28.787881801845927</v>
      </c>
      <c r="Z46" s="41">
        <f t="shared" si="0"/>
        <v>23.309736215211561</v>
      </c>
      <c r="AA46">
        <v>1.6237355850904096</v>
      </c>
      <c r="AB46">
        <v>7.9089530553324723</v>
      </c>
      <c r="AC46">
        <v>39.197587522938221</v>
      </c>
      <c r="AD46">
        <v>-29.279304151426707</v>
      </c>
      <c r="AE46">
        <v>24.140375984157359</v>
      </c>
    </row>
    <row r="47" spans="1:31" x14ac:dyDescent="0.2">
      <c r="A47" s="16">
        <v>45</v>
      </c>
      <c r="B47" s="16">
        <v>4</v>
      </c>
      <c r="C47" s="16" t="s">
        <v>74</v>
      </c>
      <c r="D47" s="16" t="s">
        <v>232</v>
      </c>
      <c r="E47" s="16" t="s">
        <v>80</v>
      </c>
      <c r="F47">
        <v>34.6</v>
      </c>
      <c r="G47">
        <v>22.786000000000001</v>
      </c>
      <c r="H47">
        <v>5.0940000000000003</v>
      </c>
      <c r="I47">
        <v>2.0880000000000001</v>
      </c>
      <c r="J47" s="34">
        <v>2.71</v>
      </c>
      <c r="K47" s="11">
        <v>2.8399311531841647E-2</v>
      </c>
      <c r="L47" s="11">
        <v>2.8331595411887376</v>
      </c>
      <c r="M47">
        <v>384.08</v>
      </c>
      <c r="N47" s="11">
        <v>18.561632056580617</v>
      </c>
      <c r="O47" s="11">
        <v>1.5181963139480377</v>
      </c>
      <c r="P47" s="11">
        <v>0.22364217252396179</v>
      </c>
      <c r="Q47" s="11">
        <v>0.43555399010504819</v>
      </c>
      <c r="R47">
        <v>0.22007063557496678</v>
      </c>
      <c r="S47">
        <v>25.425443641057022</v>
      </c>
      <c r="T47" s="11">
        <v>229</v>
      </c>
      <c r="U47" s="11">
        <v>110</v>
      </c>
      <c r="V47">
        <v>1.796030213438583</v>
      </c>
      <c r="W47">
        <v>9.0775716524394543</v>
      </c>
      <c r="X47">
        <v>39.060395579767956</v>
      </c>
      <c r="Y47">
        <v>-28.974456584836823</v>
      </c>
      <c r="Z47" s="41">
        <f t="shared" si="0"/>
        <v>21.748184015782797</v>
      </c>
      <c r="AA47">
        <v>1.761036660400273</v>
      </c>
      <c r="AB47">
        <v>8.6674168150806921</v>
      </c>
      <c r="AC47">
        <v>39.787975363014532</v>
      </c>
      <c r="AD47">
        <v>-29.299445258613854</v>
      </c>
      <c r="AE47">
        <v>22.593496352296814</v>
      </c>
    </row>
    <row r="48" spans="1:31" x14ac:dyDescent="0.2">
      <c r="A48" s="16">
        <v>46</v>
      </c>
      <c r="B48" s="16">
        <v>4</v>
      </c>
      <c r="C48" s="16" t="s">
        <v>77</v>
      </c>
      <c r="D48" s="16" t="s">
        <v>232</v>
      </c>
      <c r="E48" s="16" t="s">
        <v>80</v>
      </c>
      <c r="F48">
        <v>39.5</v>
      </c>
      <c r="G48">
        <v>30.934999999999999</v>
      </c>
      <c r="H48">
        <v>5.6349999999999998</v>
      </c>
      <c r="I48">
        <v>2.2559999999999998</v>
      </c>
      <c r="J48" s="34">
        <v>3.49</v>
      </c>
      <c r="K48" s="11">
        <v>3.7005163511187614E-2</v>
      </c>
      <c r="L48" s="11">
        <v>0.52867570385818552</v>
      </c>
      <c r="M48">
        <v>338.27</v>
      </c>
      <c r="N48" s="11">
        <v>118.79614645960709</v>
      </c>
      <c r="O48" s="11">
        <v>2.2884163754125746</v>
      </c>
      <c r="P48" s="11">
        <v>0.19500480307396745</v>
      </c>
      <c r="Q48" s="11">
        <v>0.34880714544887936</v>
      </c>
      <c r="R48">
        <v>0.1785991680917845</v>
      </c>
      <c r="S48">
        <v>35.50715731462293</v>
      </c>
      <c r="T48" s="11">
        <v>230</v>
      </c>
      <c r="U48" s="11">
        <v>0</v>
      </c>
      <c r="V48">
        <v>1.6582265672302723</v>
      </c>
      <c r="W48">
        <v>10.94058009908021</v>
      </c>
      <c r="X48">
        <v>39.820732746550945</v>
      </c>
      <c r="Y48">
        <v>-28.738130732285192</v>
      </c>
      <c r="Z48" s="41">
        <f t="shared" si="0"/>
        <v>24.01404822084314</v>
      </c>
      <c r="AA48">
        <v>1.602749578239858</v>
      </c>
      <c r="AB48">
        <v>9.1462270969914119</v>
      </c>
      <c r="AC48">
        <v>38.474458446635325</v>
      </c>
      <c r="AD48">
        <v>-29.051552686150988</v>
      </c>
      <c r="AE48">
        <v>24.005283775452952</v>
      </c>
    </row>
    <row r="49" spans="1:31" x14ac:dyDescent="0.2">
      <c r="A49" s="16">
        <v>47</v>
      </c>
      <c r="B49" s="16">
        <v>4</v>
      </c>
      <c r="C49" s="16" t="s">
        <v>74</v>
      </c>
      <c r="D49" s="16" t="s">
        <v>233</v>
      </c>
      <c r="E49" s="16" t="s">
        <v>80</v>
      </c>
      <c r="F49">
        <v>40.1</v>
      </c>
      <c r="G49">
        <v>29.381</v>
      </c>
      <c r="H49">
        <v>5.4980000000000002</v>
      </c>
      <c r="I49">
        <v>2.4369999999999998</v>
      </c>
      <c r="J49" s="34">
        <v>2.89</v>
      </c>
      <c r="K49" s="11">
        <v>1.835915088927138E-2</v>
      </c>
      <c r="L49" s="11">
        <v>6.7257559958289859E-2</v>
      </c>
      <c r="M49">
        <v>470.9</v>
      </c>
      <c r="N49" s="11">
        <v>14.058533183919941</v>
      </c>
      <c r="O49" s="11">
        <v>2.2887347385146901</v>
      </c>
      <c r="P49" s="11">
        <v>0.27570093457943956</v>
      </c>
      <c r="Q49" s="11">
        <v>0.44412745489652067</v>
      </c>
      <c r="R49">
        <v>0.21133774759146706</v>
      </c>
      <c r="S49">
        <v>29.323081271133212</v>
      </c>
      <c r="T49" s="11">
        <v>158</v>
      </c>
      <c r="U49" s="11">
        <v>95</v>
      </c>
      <c r="V49">
        <v>1.7991482925914661</v>
      </c>
      <c r="W49">
        <v>9.9899811095963553</v>
      </c>
      <c r="X49">
        <v>39.027388606838088</v>
      </c>
      <c r="Y49">
        <v>-28.828764472109377</v>
      </c>
      <c r="Z49" s="41">
        <f t="shared" si="0"/>
        <v>21.692146649359085</v>
      </c>
      <c r="AA49">
        <v>1.8911983945979194</v>
      </c>
      <c r="AB49">
        <v>8.5030237235116797</v>
      </c>
      <c r="AC49">
        <v>38.261908623789779</v>
      </c>
      <c r="AD49">
        <v>-29.239766616304003</v>
      </c>
      <c r="AE49">
        <v>20.231567842423271</v>
      </c>
    </row>
    <row r="50" spans="1:31" x14ac:dyDescent="0.2">
      <c r="A50" s="16">
        <v>48</v>
      </c>
      <c r="B50" s="16">
        <v>4</v>
      </c>
      <c r="C50" s="16" t="s">
        <v>77</v>
      </c>
      <c r="D50" s="16" t="s">
        <v>233</v>
      </c>
      <c r="E50" s="16" t="s">
        <v>80</v>
      </c>
      <c r="F50">
        <v>46.3</v>
      </c>
      <c r="G50">
        <v>28.959</v>
      </c>
      <c r="H50">
        <v>6.2720000000000002</v>
      </c>
      <c r="I50">
        <v>2.367</v>
      </c>
      <c r="J50" s="34">
        <v>3.6</v>
      </c>
      <c r="K50" s="11">
        <v>2.2662076878944358E-2</v>
      </c>
      <c r="L50" s="11">
        <v>0</v>
      </c>
      <c r="M50">
        <v>373.66</v>
      </c>
      <c r="N50" s="11">
        <v>21.54253747414495</v>
      </c>
      <c r="O50" s="11">
        <v>2.0056486755122021</v>
      </c>
      <c r="P50" s="11">
        <v>0.22119815668202694</v>
      </c>
      <c r="Q50" s="11">
        <v>0.34993861937624848</v>
      </c>
      <c r="R50">
        <v>0.13166487808556329</v>
      </c>
      <c r="S50">
        <v>35.837206889838463</v>
      </c>
      <c r="T50" s="11">
        <v>156</v>
      </c>
      <c r="U50" s="11">
        <v>0</v>
      </c>
      <c r="V50">
        <v>1.7102022476575747</v>
      </c>
      <c r="W50">
        <v>9.9191137354104804</v>
      </c>
      <c r="X50">
        <v>39.733808244340018</v>
      </c>
      <c r="Y50">
        <v>-28.514171253850456</v>
      </c>
      <c r="Z50" s="41">
        <f t="shared" si="0"/>
        <v>23.233397277288411</v>
      </c>
      <c r="AA50">
        <v>1.6822634188162475</v>
      </c>
      <c r="AB50">
        <v>9.5139169557681491</v>
      </c>
      <c r="AC50">
        <v>38.766453820929009</v>
      </c>
      <c r="AD50">
        <v>-29.007567840203599</v>
      </c>
      <c r="AE50">
        <v>23.04422326927115</v>
      </c>
    </row>
    <row r="51" spans="1:31" x14ac:dyDescent="0.2">
      <c r="A51" s="16">
        <v>49</v>
      </c>
      <c r="B51" s="16">
        <v>5</v>
      </c>
      <c r="C51" s="16" t="s">
        <v>74</v>
      </c>
      <c r="D51" s="16" t="s">
        <v>231</v>
      </c>
      <c r="E51" s="16" t="s">
        <v>76</v>
      </c>
      <c r="F51">
        <v>28.1</v>
      </c>
      <c r="G51">
        <v>25.844000000000001</v>
      </c>
      <c r="H51">
        <v>3.8769999999999998</v>
      </c>
      <c r="I51">
        <v>2.4489999999999998</v>
      </c>
      <c r="J51" s="34">
        <v>3.17</v>
      </c>
      <c r="K51" s="11">
        <v>2.5530694205392994E-2</v>
      </c>
      <c r="L51" s="11">
        <v>0.66162669447340972</v>
      </c>
      <c r="M51">
        <v>326</v>
      </c>
      <c r="N51" s="11">
        <v>29.323460215787229</v>
      </c>
      <c r="O51" s="11">
        <v>1.6603426445924701</v>
      </c>
      <c r="P51" s="11">
        <v>0.16223908918406083</v>
      </c>
      <c r="Q51" s="11">
        <v>0.45458632737390547</v>
      </c>
      <c r="R51">
        <v>0.21489424293711473</v>
      </c>
      <c r="S51">
        <v>22.741410536686121</v>
      </c>
      <c r="T51" s="11">
        <v>301</v>
      </c>
      <c r="U51" s="11">
        <v>146</v>
      </c>
      <c r="V51">
        <v>1.7502083292998669</v>
      </c>
      <c r="W51">
        <v>7.7932317692647075</v>
      </c>
      <c r="X51">
        <v>38.413343967950944</v>
      </c>
      <c r="Y51">
        <v>-28.989620113065993</v>
      </c>
      <c r="Z51" s="41">
        <f t="shared" si="0"/>
        <v>21.94786947638249</v>
      </c>
      <c r="AA51">
        <v>1.7118106444434407</v>
      </c>
      <c r="AB51">
        <v>8.4076292249571996</v>
      </c>
      <c r="AC51">
        <v>35.934629455431583</v>
      </c>
      <c r="AD51">
        <v>-29.173462942658684</v>
      </c>
      <c r="AE51">
        <v>20.992175490949219</v>
      </c>
    </row>
    <row r="52" spans="1:31" x14ac:dyDescent="0.2">
      <c r="A52" s="16">
        <v>50</v>
      </c>
      <c r="B52" s="16">
        <v>5</v>
      </c>
      <c r="C52" s="16" t="s">
        <v>77</v>
      </c>
      <c r="D52" s="16" t="s">
        <v>231</v>
      </c>
      <c r="E52" s="16" t="s">
        <v>76</v>
      </c>
      <c r="F52">
        <v>30.2</v>
      </c>
      <c r="G52">
        <v>27.72</v>
      </c>
      <c r="H52">
        <v>4.6310000000000002</v>
      </c>
      <c r="I52">
        <v>2.6480000000000001</v>
      </c>
      <c r="J52" s="34">
        <v>4.12</v>
      </c>
      <c r="K52" s="11">
        <v>2.4096385542168686E-2</v>
      </c>
      <c r="L52" s="11">
        <v>2.9348279457768505</v>
      </c>
      <c r="M52">
        <v>233.32</v>
      </c>
      <c r="N52" s="11">
        <v>127.86811791635355</v>
      </c>
      <c r="O52" s="11">
        <v>1.457609374597908</v>
      </c>
      <c r="P52" s="11">
        <v>0.13067729083665283</v>
      </c>
      <c r="Q52" s="11">
        <v>0.27238551060448829</v>
      </c>
      <c r="R52">
        <v>0.16523045300023717</v>
      </c>
      <c r="S52">
        <v>34.036842337237594</v>
      </c>
      <c r="T52" s="11">
        <v>156</v>
      </c>
      <c r="U52" s="11">
        <v>0</v>
      </c>
      <c r="V52">
        <v>1.605940720794085</v>
      </c>
      <c r="W52">
        <v>7.735591777936043</v>
      </c>
      <c r="X52">
        <v>39.460878160876135</v>
      </c>
      <c r="Y52">
        <v>-28.655998811375575</v>
      </c>
      <c r="Z52" s="41">
        <f t="shared" si="0"/>
        <v>24.571814918152164</v>
      </c>
      <c r="AA52">
        <v>1.7553868523042693</v>
      </c>
      <c r="AB52">
        <v>8.0188866317225589</v>
      </c>
      <c r="AC52">
        <v>37.919188637064792</v>
      </c>
      <c r="AD52">
        <v>-28.545331414133564</v>
      </c>
      <c r="AE52">
        <v>21.601613676944691</v>
      </c>
    </row>
    <row r="53" spans="1:31" x14ac:dyDescent="0.2">
      <c r="A53" s="16">
        <v>51</v>
      </c>
      <c r="B53" s="16">
        <v>5</v>
      </c>
      <c r="C53" s="16" t="s">
        <v>74</v>
      </c>
      <c r="D53" s="16" t="s">
        <v>232</v>
      </c>
      <c r="E53" s="16" t="s">
        <v>76</v>
      </c>
      <c r="F53">
        <v>35.200000000000003</v>
      </c>
      <c r="G53">
        <v>24</v>
      </c>
      <c r="H53">
        <v>4.7240000000000002</v>
      </c>
      <c r="I53">
        <v>2.4049999999999998</v>
      </c>
      <c r="J53" s="34">
        <v>3.4874000000000001</v>
      </c>
      <c r="K53" s="11">
        <v>2.8399311531841647E-2</v>
      </c>
      <c r="L53" s="11">
        <v>2.5594369134515116</v>
      </c>
      <c r="M53">
        <v>371.78</v>
      </c>
      <c r="N53" s="11">
        <v>9.9899389996531838</v>
      </c>
      <c r="O53" s="11">
        <v>1.2777008452754961</v>
      </c>
      <c r="P53" s="11">
        <v>0.28794642857142821</v>
      </c>
      <c r="Q53" s="11">
        <v>0.46117481305240399</v>
      </c>
      <c r="R53">
        <v>0.27136222096484242</v>
      </c>
      <c r="S53">
        <v>26.255064642780575</v>
      </c>
      <c r="T53" s="11">
        <v>320</v>
      </c>
      <c r="U53" s="11">
        <v>101</v>
      </c>
      <c r="V53">
        <v>1.9512770850398424</v>
      </c>
      <c r="W53">
        <v>10.201825882085227</v>
      </c>
      <c r="X53">
        <v>39.71709988406171</v>
      </c>
      <c r="Y53">
        <v>-28.739611002665711</v>
      </c>
      <c r="Z53" s="41">
        <f t="shared" si="0"/>
        <v>20.354413111580584</v>
      </c>
      <c r="AA53">
        <v>1.7546245790333208</v>
      </c>
      <c r="AB53">
        <v>9.0574269690780955</v>
      </c>
      <c r="AC53">
        <v>37.090903479363412</v>
      </c>
      <c r="AD53">
        <v>-29.128500103191904</v>
      </c>
      <c r="AE53">
        <v>21.138939874989092</v>
      </c>
    </row>
    <row r="54" spans="1:31" x14ac:dyDescent="0.2">
      <c r="A54" s="16">
        <v>52</v>
      </c>
      <c r="B54" s="16">
        <v>5</v>
      </c>
      <c r="C54" s="16" t="s">
        <v>77</v>
      </c>
      <c r="D54" s="16" t="s">
        <v>232</v>
      </c>
      <c r="E54" s="16" t="s">
        <v>76</v>
      </c>
      <c r="F54">
        <v>39.299999999999997</v>
      </c>
      <c r="G54">
        <v>28.077000000000002</v>
      </c>
      <c r="H54">
        <v>5.702</v>
      </c>
      <c r="I54">
        <v>2.3010000000000002</v>
      </c>
      <c r="J54" s="34">
        <v>3.11</v>
      </c>
      <c r="K54" s="11">
        <v>2.8399311531841647E-2</v>
      </c>
      <c r="L54" s="11">
        <v>0.28102189781021902</v>
      </c>
      <c r="M54">
        <v>413.34</v>
      </c>
      <c r="N54" s="11">
        <v>3.864591465841452</v>
      </c>
      <c r="O54" s="11">
        <v>1.5385748760073426</v>
      </c>
      <c r="P54" s="11">
        <v>0.21457489878542496</v>
      </c>
      <c r="Q54" s="11">
        <v>0.3410665694418597</v>
      </c>
      <c r="R54">
        <v>0.14256979876791717</v>
      </c>
      <c r="S54">
        <v>23.437894725023433</v>
      </c>
      <c r="T54" s="11">
        <v>192</v>
      </c>
      <c r="U54" s="11">
        <v>0</v>
      </c>
      <c r="V54">
        <v>1.647906679534892</v>
      </c>
      <c r="W54">
        <v>10.148209882881355</v>
      </c>
      <c r="X54">
        <v>38.901429861597038</v>
      </c>
      <c r="Y54">
        <v>-28.85649884930147</v>
      </c>
      <c r="Z54" s="41">
        <f t="shared" si="0"/>
        <v>23.606573324028666</v>
      </c>
      <c r="AA54">
        <v>1.5779131627768623</v>
      </c>
      <c r="AB54">
        <v>10.51157385293194</v>
      </c>
      <c r="AC54">
        <v>38.98417026658592</v>
      </c>
      <c r="AD54">
        <v>-29.13235600441903</v>
      </c>
      <c r="AE54">
        <v>24.706156958587204</v>
      </c>
    </row>
    <row r="55" spans="1:31" x14ac:dyDescent="0.2">
      <c r="A55" s="16">
        <v>53</v>
      </c>
      <c r="B55" s="16">
        <v>5</v>
      </c>
      <c r="C55" s="16" t="s">
        <v>74</v>
      </c>
      <c r="D55" s="16" t="s">
        <v>233</v>
      </c>
      <c r="E55" s="16" t="s">
        <v>76</v>
      </c>
      <c r="F55">
        <v>39.799999999999997</v>
      </c>
      <c r="G55">
        <v>22.824999999999999</v>
      </c>
      <c r="H55">
        <v>5.1619999999999999</v>
      </c>
      <c r="I55">
        <v>2.0939999999999999</v>
      </c>
      <c r="J55" s="34">
        <v>3.84</v>
      </c>
      <c r="K55" s="11">
        <v>3.4136546184738957E-2</v>
      </c>
      <c r="L55" s="11">
        <v>1.2507820646506778</v>
      </c>
      <c r="M55">
        <v>399.54</v>
      </c>
      <c r="N55" s="11">
        <v>3.9502186371973935</v>
      </c>
      <c r="O55" s="11">
        <v>1.2601481153261933</v>
      </c>
      <c r="P55" s="11">
        <v>0.2998859749144816</v>
      </c>
      <c r="Q55" s="11">
        <v>0.44433635381417819</v>
      </c>
      <c r="R55">
        <v>0.24257372269072797</v>
      </c>
      <c r="S55">
        <v>27.32055804681503</v>
      </c>
      <c r="T55" s="11">
        <v>214</v>
      </c>
      <c r="U55" s="11">
        <v>115</v>
      </c>
      <c r="V55">
        <v>1.8072899072298976</v>
      </c>
      <c r="W55">
        <v>8.800245186696376</v>
      </c>
      <c r="X55">
        <v>38.843715731461138</v>
      </c>
      <c r="Y55">
        <v>-28.987111277745232</v>
      </c>
      <c r="Z55" s="41">
        <f t="shared" si="0"/>
        <v>21.492797351476604</v>
      </c>
      <c r="AA55">
        <v>1.8060328046888268</v>
      </c>
      <c r="AB55">
        <v>7.9495084572874699</v>
      </c>
      <c r="AC55">
        <v>39.790691256404024</v>
      </c>
      <c r="AD55">
        <v>-29.601415755404659</v>
      </c>
      <c r="AE55">
        <v>22.032097729952266</v>
      </c>
    </row>
    <row r="56" spans="1:31" x14ac:dyDescent="0.2">
      <c r="A56" s="16">
        <v>54</v>
      </c>
      <c r="B56" s="16">
        <v>5</v>
      </c>
      <c r="C56" s="16" t="s">
        <v>77</v>
      </c>
      <c r="D56" s="16" t="s">
        <v>233</v>
      </c>
      <c r="E56" s="16" t="s">
        <v>76</v>
      </c>
      <c r="F56">
        <v>44.6</v>
      </c>
      <c r="G56">
        <v>27.498000000000001</v>
      </c>
      <c r="H56">
        <v>6.2969999999999997</v>
      </c>
      <c r="I56">
        <v>2.2749999999999999</v>
      </c>
      <c r="J56" s="34">
        <v>3.33</v>
      </c>
      <c r="K56" s="11">
        <v>2.8399311531841647E-2</v>
      </c>
      <c r="L56" s="11">
        <v>1.3263816475495309</v>
      </c>
      <c r="M56">
        <v>394.71</v>
      </c>
      <c r="N56" s="11">
        <v>15.8130582366948</v>
      </c>
      <c r="O56" s="11">
        <v>3.2740537978272255</v>
      </c>
      <c r="P56" s="11">
        <v>0.29908972691807501</v>
      </c>
      <c r="Q56" s="11">
        <v>0.34685910526117164</v>
      </c>
      <c r="R56">
        <v>0.19726959901136351</v>
      </c>
      <c r="S56">
        <v>30.749301177316735</v>
      </c>
      <c r="T56" s="11">
        <v>163</v>
      </c>
      <c r="U56" s="11">
        <v>0</v>
      </c>
      <c r="V56">
        <v>1.8712441411360863</v>
      </c>
      <c r="W56">
        <v>9.6381221398966002</v>
      </c>
      <c r="X56">
        <v>39.417659660182203</v>
      </c>
      <c r="Y56">
        <v>-28.635921586764642</v>
      </c>
      <c r="Z56" s="41">
        <f t="shared" si="0"/>
        <v>21.064947536055133</v>
      </c>
      <c r="AA56">
        <v>1.7310197192492167</v>
      </c>
      <c r="AB56">
        <v>8.7447278759139504</v>
      </c>
      <c r="AC56">
        <v>39.290880435822928</v>
      </c>
      <c r="AD56">
        <v>-28.793586869072588</v>
      </c>
      <c r="AE56">
        <v>22.698112562729378</v>
      </c>
    </row>
    <row r="57" spans="1:31" x14ac:dyDescent="0.2">
      <c r="A57" s="16">
        <v>55</v>
      </c>
      <c r="B57" s="16">
        <v>5</v>
      </c>
      <c r="C57" s="16" t="s">
        <v>74</v>
      </c>
      <c r="D57" s="16" t="s">
        <v>231</v>
      </c>
      <c r="E57" s="16" t="s">
        <v>80</v>
      </c>
      <c r="F57">
        <v>27</v>
      </c>
      <c r="G57">
        <v>23.995999999999999</v>
      </c>
      <c r="H57">
        <v>3.7559999999999998</v>
      </c>
      <c r="I57">
        <v>2.0760000000000001</v>
      </c>
      <c r="J57" s="34">
        <v>3.27</v>
      </c>
      <c r="K57" s="11">
        <v>4.274239816408492E-2</v>
      </c>
      <c r="L57" s="11">
        <v>0.20542231491136595</v>
      </c>
      <c r="M57">
        <v>337.78</v>
      </c>
      <c r="N57" s="11">
        <v>5.4390322043254118</v>
      </c>
      <c r="O57" s="11">
        <v>0.72179757966972613</v>
      </c>
      <c r="P57" s="11">
        <v>0.11623779946761267</v>
      </c>
      <c r="Q57" s="11">
        <v>0.40997923090147692</v>
      </c>
      <c r="R57">
        <v>0.2114136318814461</v>
      </c>
      <c r="S57">
        <v>24.198018601003675</v>
      </c>
      <c r="T57" s="11">
        <v>138</v>
      </c>
      <c r="U57" s="11">
        <v>30</v>
      </c>
      <c r="V57">
        <v>1.809958943959409</v>
      </c>
      <c r="W57">
        <v>7.8872485925687572</v>
      </c>
      <c r="X57">
        <v>39.079848095997818</v>
      </c>
      <c r="Y57">
        <v>-29.108398412663593</v>
      </c>
      <c r="Z57" s="41">
        <f t="shared" si="0"/>
        <v>21.591566055364755</v>
      </c>
      <c r="AA57">
        <v>1.7857788202797036</v>
      </c>
      <c r="AB57">
        <v>9.8869707092110986</v>
      </c>
      <c r="AC57">
        <v>38.637153960121431</v>
      </c>
      <c r="AD57">
        <v>-29.382646495362064</v>
      </c>
      <c r="AE57">
        <v>21.636024305669476</v>
      </c>
    </row>
    <row r="58" spans="1:31" x14ac:dyDescent="0.2">
      <c r="A58" s="16">
        <v>56</v>
      </c>
      <c r="B58" s="16">
        <v>5</v>
      </c>
      <c r="C58" s="16" t="s">
        <v>77</v>
      </c>
      <c r="D58" s="16" t="s">
        <v>231</v>
      </c>
      <c r="E58" s="16" t="s">
        <v>80</v>
      </c>
      <c r="F58">
        <v>29.2</v>
      </c>
      <c r="G58">
        <v>19.646999999999998</v>
      </c>
      <c r="H58">
        <v>4.63</v>
      </c>
      <c r="I58">
        <v>1.8120000000000001</v>
      </c>
      <c r="J58" s="34">
        <v>2.85</v>
      </c>
      <c r="K58" s="11">
        <v>0.52753872633390708</v>
      </c>
      <c r="L58" s="11">
        <v>0.50260688216892591</v>
      </c>
      <c r="M58">
        <v>352.63</v>
      </c>
      <c r="N58" s="11">
        <v>24.889836812663557</v>
      </c>
      <c r="O58" s="11">
        <v>2.1722062962632505</v>
      </c>
      <c r="P58" s="11">
        <v>9.9559471365639016E-2</v>
      </c>
      <c r="Q58" s="11">
        <v>0.2844826616864311</v>
      </c>
      <c r="R58">
        <v>0.15095831819502059</v>
      </c>
      <c r="S58">
        <v>24.609399609399606</v>
      </c>
      <c r="T58" s="11">
        <v>161</v>
      </c>
      <c r="U58" s="11">
        <v>0</v>
      </c>
      <c r="V58">
        <v>1.5799230279361129</v>
      </c>
      <c r="W58">
        <v>7.4261216243730042</v>
      </c>
      <c r="X58">
        <v>39.328770301550939</v>
      </c>
      <c r="Y58">
        <v>-28.813400413511559</v>
      </c>
      <c r="Z58" s="41">
        <f t="shared" si="0"/>
        <v>24.892839465050997</v>
      </c>
      <c r="AA58">
        <v>1.771363935343333</v>
      </c>
      <c r="AB58">
        <v>10.587706480107329</v>
      </c>
      <c r="AC58">
        <v>38.289055669088398</v>
      </c>
      <c r="AD58">
        <v>-29.192481796780559</v>
      </c>
      <c r="AE58">
        <v>21.615578202266523</v>
      </c>
    </row>
    <row r="59" spans="1:31" x14ac:dyDescent="0.2">
      <c r="A59" s="16">
        <v>57</v>
      </c>
      <c r="B59" s="16">
        <v>5</v>
      </c>
      <c r="C59" s="16" t="s">
        <v>74</v>
      </c>
      <c r="D59" s="16" t="s">
        <v>232</v>
      </c>
      <c r="E59" s="16" t="s">
        <v>80</v>
      </c>
      <c r="F59">
        <v>35.200000000000003</v>
      </c>
      <c r="G59">
        <v>28.503</v>
      </c>
      <c r="H59">
        <v>4.6520000000000001</v>
      </c>
      <c r="I59">
        <v>2.6389999999999998</v>
      </c>
      <c r="J59" s="34">
        <v>3.42</v>
      </c>
      <c r="K59" s="11">
        <v>4.7045324153757902E-2</v>
      </c>
      <c r="L59" s="11">
        <v>0.37747653806047965</v>
      </c>
      <c r="M59">
        <v>340.42</v>
      </c>
      <c r="N59" s="11">
        <v>8.2643246663471839</v>
      </c>
      <c r="O59" s="11">
        <v>0.93065682451900933</v>
      </c>
      <c r="P59" s="11">
        <v>0.20309477756286282</v>
      </c>
      <c r="Q59" s="11">
        <v>0.39315637219890343</v>
      </c>
      <c r="R59">
        <v>0.22048750568525421</v>
      </c>
      <c r="S59">
        <v>28.480074351633984</v>
      </c>
      <c r="T59" s="11">
        <v>186</v>
      </c>
      <c r="U59" s="11">
        <v>59</v>
      </c>
      <c r="V59">
        <v>1.7439011697681681</v>
      </c>
      <c r="W59">
        <v>7.9102244986632382</v>
      </c>
      <c r="X59">
        <v>39.167807857120152</v>
      </c>
      <c r="Y59">
        <v>-28.743857287050567</v>
      </c>
      <c r="Z59" s="41">
        <f t="shared" si="0"/>
        <v>22.459878195005206</v>
      </c>
      <c r="AA59">
        <v>1.672348963105899</v>
      </c>
      <c r="AB59">
        <v>8.276978815922849</v>
      </c>
      <c r="AC59">
        <v>38.504411599876271</v>
      </c>
      <c r="AD59">
        <v>-29.130459104175728</v>
      </c>
      <c r="AE59">
        <v>23.024148936215795</v>
      </c>
    </row>
    <row r="60" spans="1:31" x14ac:dyDescent="0.2">
      <c r="A60" s="16">
        <v>58</v>
      </c>
      <c r="B60" s="16">
        <v>5</v>
      </c>
      <c r="C60" s="16" t="s">
        <v>77</v>
      </c>
      <c r="D60" s="16" t="s">
        <v>232</v>
      </c>
      <c r="E60" s="16" t="s">
        <v>80</v>
      </c>
      <c r="F60">
        <v>35.200000000000003</v>
      </c>
      <c r="G60">
        <v>29.047000000000001</v>
      </c>
      <c r="H60">
        <v>4.7949999999999999</v>
      </c>
      <c r="I60">
        <v>2.7050000000000001</v>
      </c>
      <c r="J60" s="34">
        <v>2.5972200000000001</v>
      </c>
      <c r="K60" s="11">
        <v>4.1308089500860588E-2</v>
      </c>
      <c r="L60" s="11">
        <v>1.5896767466110533</v>
      </c>
      <c r="M60">
        <v>329.37</v>
      </c>
      <c r="N60" s="11">
        <v>75.524131071984044</v>
      </c>
      <c r="O60" s="11">
        <v>2.6667805046109376</v>
      </c>
      <c r="P60" s="11">
        <v>0.17916260954235677</v>
      </c>
      <c r="Q60" s="11">
        <v>0.33520503984597616</v>
      </c>
      <c r="R60">
        <v>0.14891771133836307</v>
      </c>
      <c r="S60">
        <v>30.202444975172245</v>
      </c>
      <c r="T60" s="11">
        <v>121</v>
      </c>
      <c r="U60" s="11">
        <v>0</v>
      </c>
      <c r="V60">
        <v>1.7082992870308584</v>
      </c>
      <c r="W60">
        <v>9.0118490478987994</v>
      </c>
      <c r="X60">
        <v>39.34094589656317</v>
      </c>
      <c r="Y60">
        <v>-28.849074007160475</v>
      </c>
      <c r="Z60" s="41">
        <f t="shared" si="0"/>
        <v>23.029305342005053</v>
      </c>
      <c r="AA60">
        <v>1.6872572797316279</v>
      </c>
      <c r="AB60">
        <v>8.4147443834472266</v>
      </c>
      <c r="AC60">
        <v>35.407523575890181</v>
      </c>
      <c r="AD60">
        <v>-28.815578059955616</v>
      </c>
      <c r="AE60">
        <v>20.985254591120828</v>
      </c>
    </row>
    <row r="61" spans="1:31" x14ac:dyDescent="0.2">
      <c r="A61" s="16">
        <v>59</v>
      </c>
      <c r="B61" s="16">
        <v>5</v>
      </c>
      <c r="C61" s="16" t="s">
        <v>74</v>
      </c>
      <c r="D61" s="16" t="s">
        <v>233</v>
      </c>
      <c r="E61" s="16" t="s">
        <v>80</v>
      </c>
      <c r="F61">
        <v>38.6</v>
      </c>
      <c r="G61">
        <v>23.86</v>
      </c>
      <c r="H61">
        <v>5.085</v>
      </c>
      <c r="I61">
        <v>2.5129999999999999</v>
      </c>
      <c r="J61" s="34">
        <v>3.1960000000000002</v>
      </c>
      <c r="K61" s="11">
        <v>1.262191623637407E-2</v>
      </c>
      <c r="L61" s="11">
        <v>0.11939520333680913</v>
      </c>
      <c r="M61">
        <v>500.27</v>
      </c>
      <c r="N61" s="11">
        <v>9.8146622790850788</v>
      </c>
      <c r="O61" s="11">
        <v>0.59416996157169777</v>
      </c>
      <c r="P61" s="11">
        <v>0.25120307988450424</v>
      </c>
      <c r="Q61" s="11">
        <v>0.38040149335634615</v>
      </c>
      <c r="R61">
        <v>0.19444123483968531</v>
      </c>
      <c r="S61">
        <v>24.669976593053512</v>
      </c>
      <c r="T61" s="11">
        <v>217</v>
      </c>
      <c r="U61" s="11">
        <v>74</v>
      </c>
      <c r="V61">
        <v>1.6830256009050439</v>
      </c>
      <c r="W61">
        <v>6.9420159666511649</v>
      </c>
      <c r="X61">
        <v>38.842275394738017</v>
      </c>
      <c r="Y61">
        <v>-29.166398735948704</v>
      </c>
      <c r="Z61" s="41">
        <f t="shared" si="0"/>
        <v>23.078838119783001</v>
      </c>
      <c r="AA61">
        <v>1.6936429415090593</v>
      </c>
      <c r="AB61">
        <v>8.7752153199844098</v>
      </c>
      <c r="AC61">
        <v>36.0044561710545</v>
      </c>
      <c r="AD61">
        <v>-29.256682685990281</v>
      </c>
      <c r="AE61">
        <v>21.258587207864505</v>
      </c>
    </row>
    <row r="62" spans="1:31" x14ac:dyDescent="0.2">
      <c r="A62" s="16">
        <v>60</v>
      </c>
      <c r="B62" s="16">
        <v>5</v>
      </c>
      <c r="C62" s="16" t="s">
        <v>77</v>
      </c>
      <c r="D62" s="16" t="s">
        <v>233</v>
      </c>
      <c r="E62" s="16" t="s">
        <v>80</v>
      </c>
      <c r="F62">
        <v>35.799999999999997</v>
      </c>
      <c r="G62">
        <v>25.745000000000001</v>
      </c>
      <c r="H62">
        <v>4.8920000000000003</v>
      </c>
      <c r="I62">
        <v>1.6040000000000001</v>
      </c>
      <c r="J62" s="34">
        <v>2.9</v>
      </c>
      <c r="K62" s="11">
        <v>5.4503729202524352E-3</v>
      </c>
      <c r="L62" s="11">
        <v>0.32012513034410833</v>
      </c>
      <c r="M62">
        <v>533.81999999999994</v>
      </c>
      <c r="N62" s="11">
        <v>5.7058708933799602</v>
      </c>
      <c r="O62" s="11">
        <v>1.4860225413895163</v>
      </c>
      <c r="P62" s="11">
        <v>0.20594262295081944</v>
      </c>
      <c r="Q62" s="11">
        <v>0.28166309253272725</v>
      </c>
      <c r="R62">
        <v>0.14462729709886823</v>
      </c>
      <c r="S62">
        <v>22.6425084648147</v>
      </c>
      <c r="T62" s="11">
        <v>172</v>
      </c>
      <c r="U62" s="11">
        <v>0</v>
      </c>
      <c r="V62">
        <v>1.745366939434152</v>
      </c>
      <c r="W62">
        <v>10.991539543912269</v>
      </c>
      <c r="X62">
        <v>39.222163720286787</v>
      </c>
      <c r="Y62">
        <v>-28.680466697823608</v>
      </c>
      <c r="Z62" s="41">
        <f t="shared" si="0"/>
        <v>22.472159197081282</v>
      </c>
      <c r="AA62">
        <v>1.7915044757486565</v>
      </c>
      <c r="AB62">
        <v>12.724792503859673</v>
      </c>
      <c r="AC62">
        <v>39.258030268523555</v>
      </c>
      <c r="AD62">
        <v>-29.337773666105587</v>
      </c>
      <c r="AE62">
        <v>21.913442472488335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2"/>
  <sheetViews>
    <sheetView topLeftCell="A53" zoomScaleNormal="100" workbookViewId="0">
      <selection activeCell="K63" sqref="K63:K122"/>
    </sheetView>
  </sheetViews>
  <sheetFormatPr baseColWidth="10" defaultColWidth="9.1640625" defaultRowHeight="11" x14ac:dyDescent="0.15"/>
  <cols>
    <col min="1" max="1" width="9.1640625" style="51"/>
    <col min="2" max="2" width="9.1640625" style="52"/>
    <col min="3" max="3" width="9.1640625" style="51"/>
    <col min="4" max="4" width="9.1640625" style="53"/>
    <col min="5" max="6" width="9.6640625" style="51" customWidth="1"/>
    <col min="7" max="7" width="19" style="51" bestFit="1" customWidth="1"/>
    <col min="8" max="8" width="19" style="51" customWidth="1"/>
    <col min="9" max="9" width="9.6640625" style="51" customWidth="1"/>
    <col min="10" max="10" width="9.33203125" style="53" bestFit="1" customWidth="1"/>
    <col min="11" max="12" width="9.33203125" style="51" bestFit="1" customWidth="1"/>
    <col min="13" max="13" width="19" style="51" bestFit="1" customWidth="1"/>
    <col min="14" max="16" width="9.1640625" style="56"/>
    <col min="17" max="16384" width="9.1640625" style="51"/>
  </cols>
  <sheetData>
    <row r="1" spans="1:14" x14ac:dyDescent="0.15">
      <c r="J1" s="54"/>
      <c r="K1" s="53"/>
      <c r="L1" s="55"/>
    </row>
    <row r="2" spans="1:14" s="57" customFormat="1" ht="22" x14ac:dyDescent="0.2">
      <c r="A2" s="57" t="s">
        <v>240</v>
      </c>
      <c r="B2" s="58" t="s">
        <v>241</v>
      </c>
      <c r="C2" s="57" t="s">
        <v>242</v>
      </c>
      <c r="D2" s="59" t="s">
        <v>243</v>
      </c>
      <c r="E2" s="60" t="s">
        <v>244</v>
      </c>
      <c r="F2" s="59" t="s">
        <v>245</v>
      </c>
      <c r="G2" s="57" t="s">
        <v>246</v>
      </c>
      <c r="H2" s="57" t="s">
        <v>434</v>
      </c>
      <c r="I2" s="61"/>
      <c r="J2" s="59" t="s">
        <v>247</v>
      </c>
      <c r="K2" s="59" t="s">
        <v>248</v>
      </c>
      <c r="L2" s="60" t="s">
        <v>249</v>
      </c>
      <c r="M2" s="57" t="s">
        <v>250</v>
      </c>
      <c r="N2" s="57" t="s">
        <v>435</v>
      </c>
    </row>
    <row r="3" spans="1:14" x14ac:dyDescent="0.15">
      <c r="A3" s="51" t="s">
        <v>251</v>
      </c>
      <c r="B3" s="52">
        <v>3.5409999999999999</v>
      </c>
      <c r="C3" s="51" t="s">
        <v>252</v>
      </c>
      <c r="D3" s="53">
        <v>63.183186196715425</v>
      </c>
      <c r="E3" s="55">
        <v>7.2392358448122982</v>
      </c>
      <c r="F3" s="53">
        <v>20227.25502825265</v>
      </c>
      <c r="G3" s="53"/>
      <c r="H3" s="63">
        <f>((D3/1000)/B3)*100</f>
        <v>1.7843317197603903</v>
      </c>
      <c r="I3" s="53"/>
      <c r="J3" s="53">
        <v>1385.9842532442249</v>
      </c>
      <c r="K3" s="53">
        <v>-28.891429374327434</v>
      </c>
      <c r="L3" s="55">
        <v>1.0740670628427869</v>
      </c>
      <c r="M3" s="62"/>
      <c r="N3" s="56">
        <f>(J3/1000)/B3*100</f>
        <v>39.141040758097283</v>
      </c>
    </row>
    <row r="4" spans="1:14" x14ac:dyDescent="0.15">
      <c r="A4" s="51" t="s">
        <v>253</v>
      </c>
      <c r="B4" s="52">
        <v>3.1949999999999998</v>
      </c>
      <c r="C4" s="51" t="s">
        <v>254</v>
      </c>
      <c r="D4" s="53">
        <v>50.859003707906489</v>
      </c>
      <c r="E4" s="55">
        <v>7.0945869986053554</v>
      </c>
      <c r="F4" s="53">
        <v>19770.718988073186</v>
      </c>
      <c r="G4" s="53"/>
      <c r="H4" s="63">
        <f t="shared" ref="H4:H67" si="0">((D4/1000)/B4)*100</f>
        <v>1.5918311019689042</v>
      </c>
      <c r="I4" s="53"/>
      <c r="J4" s="53">
        <v>1266.8711054801063</v>
      </c>
      <c r="K4" s="53">
        <v>-29.156061189768142</v>
      </c>
      <c r="L4" s="55">
        <v>1.0737775171601138</v>
      </c>
      <c r="M4" s="62"/>
      <c r="N4" s="56">
        <f t="shared" ref="N4:N67" si="1">(J4/1000)/B4*100</f>
        <v>39.651677792804577</v>
      </c>
    </row>
    <row r="5" spans="1:14" x14ac:dyDescent="0.15">
      <c r="A5" s="51" t="s">
        <v>255</v>
      </c>
      <c r="B5" s="52">
        <v>3.1589999999999998</v>
      </c>
      <c r="C5" s="51" t="s">
        <v>256</v>
      </c>
      <c r="D5" s="53">
        <v>58.312240149890236</v>
      </c>
      <c r="E5" s="55">
        <v>8.6547794203680581</v>
      </c>
      <c r="F5" s="53">
        <v>24771.257157768196</v>
      </c>
      <c r="G5" s="53"/>
      <c r="H5" s="63">
        <f t="shared" si="0"/>
        <v>1.8459082035419512</v>
      </c>
      <c r="I5" s="53"/>
      <c r="J5" s="53">
        <v>1233.8446430914337</v>
      </c>
      <c r="K5" s="53">
        <v>-29.000349339636514</v>
      </c>
      <c r="L5" s="55">
        <v>1.0739478887693832</v>
      </c>
      <c r="M5" s="62"/>
      <c r="N5" s="56">
        <f t="shared" si="1"/>
        <v>39.058076704382202</v>
      </c>
    </row>
    <row r="6" spans="1:14" x14ac:dyDescent="0.15">
      <c r="A6" s="51" t="s">
        <v>257</v>
      </c>
      <c r="B6" s="52">
        <v>3.7090000000000001</v>
      </c>
      <c r="C6" s="51" t="s">
        <v>258</v>
      </c>
      <c r="D6" s="53">
        <v>60.382332272187682</v>
      </c>
      <c r="E6" s="55">
        <v>10.369982757197892</v>
      </c>
      <c r="F6" s="53">
        <v>30469.510235784095</v>
      </c>
      <c r="G6" s="53"/>
      <c r="H6" s="63">
        <f t="shared" si="0"/>
        <v>1.6279949385868879</v>
      </c>
      <c r="I6" s="53"/>
      <c r="J6" s="53">
        <v>1463.0166363752905</v>
      </c>
      <c r="K6" s="53">
        <v>-29.355566751579669</v>
      </c>
      <c r="L6" s="55">
        <v>1.0735592279474719</v>
      </c>
      <c r="M6" s="62"/>
      <c r="N6" s="56">
        <f t="shared" si="1"/>
        <v>39.445042770970353</v>
      </c>
    </row>
    <row r="7" spans="1:14" x14ac:dyDescent="0.15">
      <c r="A7" s="51" t="s">
        <v>259</v>
      </c>
      <c r="B7" s="52">
        <v>3.3340000000000001</v>
      </c>
      <c r="C7" s="51" t="s">
        <v>260</v>
      </c>
      <c r="D7" s="53">
        <v>57.811794055537348</v>
      </c>
      <c r="E7" s="55">
        <v>10.126131804035865</v>
      </c>
      <c r="F7" s="53">
        <v>29646.125194096268</v>
      </c>
      <c r="G7" s="53"/>
      <c r="H7" s="63">
        <f t="shared" si="0"/>
        <v>1.7340070202620679</v>
      </c>
      <c r="I7" s="53"/>
      <c r="J7" s="53">
        <v>1308.6321377678123</v>
      </c>
      <c r="K7" s="53">
        <v>-28.736822975004575</v>
      </c>
      <c r="L7" s="55">
        <v>1.0742362239385199</v>
      </c>
      <c r="M7" s="62"/>
      <c r="N7" s="56">
        <f t="shared" si="1"/>
        <v>39.251113910252315</v>
      </c>
    </row>
    <row r="8" spans="1:14" x14ac:dyDescent="0.15">
      <c r="A8" s="51" t="s">
        <v>261</v>
      </c>
      <c r="B8" s="52">
        <v>3.2919999999999998</v>
      </c>
      <c r="C8" s="51" t="s">
        <v>262</v>
      </c>
      <c r="D8" s="53">
        <v>56.059336365351541</v>
      </c>
      <c r="E8" s="55">
        <v>9.9919857639067349</v>
      </c>
      <c r="F8" s="53">
        <v>29195.071055191776</v>
      </c>
      <c r="G8" s="53"/>
      <c r="H8" s="63">
        <f t="shared" si="0"/>
        <v>1.7028960013776289</v>
      </c>
      <c r="I8" s="53"/>
      <c r="J8" s="53">
        <v>1295.4251261877305</v>
      </c>
      <c r="K8" s="53">
        <v>-29.229413520778419</v>
      </c>
      <c r="L8" s="55">
        <v>1.0736972587447846</v>
      </c>
      <c r="M8" s="62"/>
      <c r="N8" s="56">
        <f t="shared" si="1"/>
        <v>39.350702496589626</v>
      </c>
    </row>
    <row r="9" spans="1:14" x14ac:dyDescent="0.15">
      <c r="A9" s="51" t="s">
        <v>263</v>
      </c>
      <c r="B9" s="52">
        <v>3.8660000000000001</v>
      </c>
      <c r="C9" s="51" t="s">
        <v>264</v>
      </c>
      <c r="D9" s="53">
        <v>68.457290635483261</v>
      </c>
      <c r="E9" s="55">
        <v>7.5575974593964839</v>
      </c>
      <c r="F9" s="53">
        <v>21237.090418030075</v>
      </c>
      <c r="G9" s="53"/>
      <c r="H9" s="63">
        <f t="shared" si="0"/>
        <v>1.7707524737579738</v>
      </c>
      <c r="I9" s="53"/>
      <c r="J9" s="53">
        <v>1510.8952231706255</v>
      </c>
      <c r="K9" s="53">
        <v>-28.980298482533833</v>
      </c>
      <c r="L9" s="55">
        <v>1.0739698273061622</v>
      </c>
      <c r="M9" s="62"/>
      <c r="N9" s="56">
        <f t="shared" si="1"/>
        <v>39.081614670735263</v>
      </c>
    </row>
    <row r="10" spans="1:14" x14ac:dyDescent="0.15">
      <c r="A10" s="51" t="s">
        <v>265</v>
      </c>
      <c r="B10" s="52">
        <v>3.25</v>
      </c>
      <c r="C10" s="51" t="s">
        <v>266</v>
      </c>
      <c r="D10" s="53">
        <v>55.10815693240734</v>
      </c>
      <c r="E10" s="55">
        <v>8.300340695142701</v>
      </c>
      <c r="F10" s="53">
        <v>23620.316201789472</v>
      </c>
      <c r="G10" s="53"/>
      <c r="H10" s="63">
        <f t="shared" si="0"/>
        <v>1.6956355979202258</v>
      </c>
      <c r="I10" s="53"/>
      <c r="J10" s="53">
        <v>1276.8994112062821</v>
      </c>
      <c r="K10" s="53">
        <v>-28.888454703061431</v>
      </c>
      <c r="L10" s="55">
        <v>1.0740703175560258</v>
      </c>
      <c r="M10" s="62"/>
      <c r="N10" s="56">
        <f t="shared" si="1"/>
        <v>39.289212652500986</v>
      </c>
    </row>
    <row r="11" spans="1:14" x14ac:dyDescent="0.15">
      <c r="A11" s="51" t="s">
        <v>267</v>
      </c>
      <c r="B11" s="52">
        <v>3.222</v>
      </c>
      <c r="C11" s="51" t="s">
        <v>268</v>
      </c>
      <c r="D11" s="53">
        <v>58.387790501219932</v>
      </c>
      <c r="E11" s="55">
        <v>10.353824786522139</v>
      </c>
      <c r="F11" s="53">
        <v>30414.81279580704</v>
      </c>
      <c r="G11" s="53"/>
      <c r="H11" s="63">
        <f t="shared" si="0"/>
        <v>1.8121598541657336</v>
      </c>
      <c r="I11" s="53"/>
      <c r="J11" s="53">
        <v>1264.7539042389299</v>
      </c>
      <c r="K11" s="53">
        <v>-29.203554715922792</v>
      </c>
      <c r="L11" s="55">
        <v>1.0737255521577085</v>
      </c>
      <c r="M11" s="62"/>
      <c r="N11" s="56">
        <f t="shared" si="1"/>
        <v>39.253690386062381</v>
      </c>
    </row>
    <row r="12" spans="1:14" x14ac:dyDescent="0.15">
      <c r="A12" s="51" t="s">
        <v>269</v>
      </c>
      <c r="B12" s="52">
        <v>3.399</v>
      </c>
      <c r="C12" s="51" t="s">
        <v>270</v>
      </c>
      <c r="D12" s="53">
        <v>53.154915154630203</v>
      </c>
      <c r="E12" s="55">
        <v>10.064372082205667</v>
      </c>
      <c r="F12" s="53">
        <v>29438.296477606069</v>
      </c>
      <c r="G12" s="53"/>
      <c r="H12" s="63">
        <f t="shared" si="0"/>
        <v>1.5638398103745277</v>
      </c>
      <c r="I12" s="53"/>
      <c r="J12" s="53">
        <v>1345.1420210070992</v>
      </c>
      <c r="K12" s="53">
        <v>-28.988661993626735</v>
      </c>
      <c r="L12" s="55">
        <v>1.0739606764169478</v>
      </c>
      <c r="M12" s="62"/>
      <c r="N12" s="56">
        <f t="shared" si="1"/>
        <v>39.574640217919956</v>
      </c>
    </row>
    <row r="13" spans="1:14" x14ac:dyDescent="0.15">
      <c r="A13" s="51" t="s">
        <v>271</v>
      </c>
      <c r="B13" s="52">
        <v>3.43</v>
      </c>
      <c r="C13" s="51" t="s">
        <v>272</v>
      </c>
      <c r="D13" s="53">
        <v>66.025676021774032</v>
      </c>
      <c r="E13" s="55">
        <v>9.0516206579805303</v>
      </c>
      <c r="F13" s="53">
        <v>26070.533203709681</v>
      </c>
      <c r="G13" s="53"/>
      <c r="H13" s="63">
        <f t="shared" si="0"/>
        <v>1.9249468227922457</v>
      </c>
      <c r="I13" s="53"/>
      <c r="J13" s="53">
        <v>1343.3602835142158</v>
      </c>
      <c r="K13" s="53">
        <v>-28.842383531595281</v>
      </c>
      <c r="L13" s="55">
        <v>1.0741207259396612</v>
      </c>
      <c r="M13" s="62"/>
      <c r="N13" s="56">
        <f t="shared" si="1"/>
        <v>39.165022842980051</v>
      </c>
    </row>
    <row r="14" spans="1:14" x14ac:dyDescent="0.15">
      <c r="A14" s="51" t="s">
        <v>273</v>
      </c>
      <c r="B14" s="52">
        <v>3.593</v>
      </c>
      <c r="C14" s="51" t="s">
        <v>274</v>
      </c>
      <c r="D14" s="53">
        <v>62.038949625484427</v>
      </c>
      <c r="E14" s="55">
        <v>10.289875240638397</v>
      </c>
      <c r="F14" s="53">
        <v>30198.52616827597</v>
      </c>
      <c r="G14" s="53"/>
      <c r="H14" s="63">
        <f t="shared" si="0"/>
        <v>1.7266615537290406</v>
      </c>
      <c r="I14" s="53"/>
      <c r="J14" s="53">
        <v>1428.990539010684</v>
      </c>
      <c r="K14" s="53">
        <v>-28.388918200080063</v>
      </c>
      <c r="L14" s="55">
        <v>1.0746168784657866</v>
      </c>
      <c r="M14" s="62"/>
      <c r="N14" s="56">
        <f t="shared" si="1"/>
        <v>39.771515140848429</v>
      </c>
    </row>
    <row r="15" spans="1:14" x14ac:dyDescent="0.15">
      <c r="A15" s="51" t="s">
        <v>275</v>
      </c>
      <c r="B15" s="52">
        <v>3.4790000000000001</v>
      </c>
      <c r="C15" s="51" t="s">
        <v>276</v>
      </c>
      <c r="D15" s="53">
        <v>56.396744638964947</v>
      </c>
      <c r="E15" s="55">
        <v>6.317299466551666</v>
      </c>
      <c r="F15" s="53">
        <v>17341.611618624167</v>
      </c>
      <c r="G15" s="53"/>
      <c r="H15" s="63">
        <f t="shared" si="0"/>
        <v>1.6210619327095417</v>
      </c>
      <c r="I15" s="53"/>
      <c r="J15" s="53">
        <v>1374.9630251583403</v>
      </c>
      <c r="K15" s="53">
        <v>-29.04655747762461</v>
      </c>
      <c r="L15" s="55">
        <v>1.073897330348242</v>
      </c>
      <c r="M15" s="62"/>
      <c r="N15" s="56">
        <f t="shared" si="1"/>
        <v>39.521788593226219</v>
      </c>
    </row>
    <row r="16" spans="1:14" x14ac:dyDescent="0.15">
      <c r="A16" s="51" t="s">
        <v>277</v>
      </c>
      <c r="B16" s="52">
        <v>3.6920000000000002</v>
      </c>
      <c r="C16" s="51" t="s">
        <v>278</v>
      </c>
      <c r="D16" s="53">
        <v>56.39387276190795</v>
      </c>
      <c r="E16" s="55">
        <v>6.7529577797251017</v>
      </c>
      <c r="F16" s="53">
        <v>18698.102781937643</v>
      </c>
      <c r="G16" s="53"/>
      <c r="H16" s="63">
        <f t="shared" si="0"/>
        <v>1.5274613424135413</v>
      </c>
      <c r="I16" s="53"/>
      <c r="J16" s="53">
        <v>1441.7207429552229</v>
      </c>
      <c r="K16" s="53">
        <v>-29.331520418658243</v>
      </c>
      <c r="L16" s="55">
        <v>1.0735855383180655</v>
      </c>
      <c r="M16" s="62"/>
      <c r="N16" s="56">
        <f t="shared" si="1"/>
        <v>39.049857609838106</v>
      </c>
    </row>
    <row r="17" spans="1:14" x14ac:dyDescent="0.15">
      <c r="A17" s="51" t="s">
        <v>279</v>
      </c>
      <c r="B17" s="52">
        <v>3.2589999999999999</v>
      </c>
      <c r="C17" s="51" t="s">
        <v>280</v>
      </c>
      <c r="D17" s="53">
        <v>64.082886113776837</v>
      </c>
      <c r="E17" s="55">
        <v>9.5865569891198064</v>
      </c>
      <c r="F17" s="53">
        <v>27839.988325029008</v>
      </c>
      <c r="G17" s="53"/>
      <c r="H17" s="63">
        <f t="shared" si="0"/>
        <v>1.9663358733898999</v>
      </c>
      <c r="I17" s="53"/>
      <c r="J17" s="53">
        <v>1271.2152279539728</v>
      </c>
      <c r="K17" s="53">
        <v>-28.680467747795682</v>
      </c>
      <c r="L17" s="55">
        <v>1.0742978843211648</v>
      </c>
      <c r="M17" s="62"/>
      <c r="N17" s="56">
        <f t="shared" si="1"/>
        <v>39.006297267688645</v>
      </c>
    </row>
    <row r="18" spans="1:14" x14ac:dyDescent="0.15">
      <c r="A18" s="51" t="s">
        <v>281</v>
      </c>
      <c r="B18" s="52">
        <v>3.8839999999999999</v>
      </c>
      <c r="C18" s="51" t="s">
        <v>282</v>
      </c>
      <c r="D18" s="53">
        <v>63.185746070922875</v>
      </c>
      <c r="E18" s="55">
        <v>9.7561760575390242</v>
      </c>
      <c r="F18" s="53">
        <v>28405.432332669185</v>
      </c>
      <c r="G18" s="53"/>
      <c r="H18" s="63">
        <f t="shared" si="0"/>
        <v>1.6268214745345746</v>
      </c>
      <c r="I18" s="53"/>
      <c r="J18" s="53">
        <v>1498.0071058985488</v>
      </c>
      <c r="K18" s="53">
        <v>-29.295687725423559</v>
      </c>
      <c r="L18" s="55">
        <v>1.0736247447458018</v>
      </c>
      <c r="M18" s="62"/>
      <c r="N18" s="56">
        <f t="shared" si="1"/>
        <v>38.568669049911151</v>
      </c>
    </row>
    <row r="19" spans="1:14" x14ac:dyDescent="0.15">
      <c r="A19" s="51" t="s">
        <v>283</v>
      </c>
      <c r="B19" s="52">
        <v>3.6070000000000002</v>
      </c>
      <c r="C19" s="51" t="s">
        <v>284</v>
      </c>
      <c r="D19" s="53">
        <v>62.194384574127263</v>
      </c>
      <c r="E19" s="55">
        <v>10.897034408349761</v>
      </c>
      <c r="F19" s="53">
        <v>32264.545434969306</v>
      </c>
      <c r="G19" s="53"/>
      <c r="H19" s="63">
        <f t="shared" si="0"/>
        <v>1.7242690483539578</v>
      </c>
      <c r="I19" s="53"/>
      <c r="J19" s="53">
        <v>1397.4427556204346</v>
      </c>
      <c r="K19" s="53">
        <v>-29.348244253480853</v>
      </c>
      <c r="L19" s="55">
        <v>1.0735672398832177</v>
      </c>
      <c r="M19" s="62"/>
      <c r="N19" s="56">
        <f t="shared" si="1"/>
        <v>38.742521641819636</v>
      </c>
    </row>
    <row r="20" spans="1:14" x14ac:dyDescent="0.15">
      <c r="A20" s="51" t="s">
        <v>285</v>
      </c>
      <c r="B20" s="52">
        <v>3.145</v>
      </c>
      <c r="C20" s="51" t="s">
        <v>286</v>
      </c>
      <c r="D20" s="53">
        <v>51.251846456025049</v>
      </c>
      <c r="E20" s="55">
        <v>11.84653626842162</v>
      </c>
      <c r="F20" s="53">
        <v>35552.529540591539</v>
      </c>
      <c r="G20" s="53"/>
      <c r="H20" s="63">
        <f t="shared" si="0"/>
        <v>1.6296294580612098</v>
      </c>
      <c r="I20" s="53"/>
      <c r="J20" s="53">
        <v>1252.4399040686324</v>
      </c>
      <c r="K20" s="53">
        <v>-29.185421037868483</v>
      </c>
      <c r="L20" s="55">
        <v>1.0737453931130136</v>
      </c>
      <c r="M20" s="62"/>
      <c r="N20" s="56">
        <f t="shared" si="1"/>
        <v>39.823208396458895</v>
      </c>
    </row>
    <row r="21" spans="1:14" x14ac:dyDescent="0.15">
      <c r="A21" s="51" t="s">
        <v>287</v>
      </c>
      <c r="B21" s="52">
        <v>3.5150000000000001</v>
      </c>
      <c r="C21" s="51" t="s">
        <v>288</v>
      </c>
      <c r="D21" s="53">
        <v>61.583202897907128</v>
      </c>
      <c r="E21" s="55">
        <v>9.3660953513138772</v>
      </c>
      <c r="F21" s="53">
        <v>27108.218055613303</v>
      </c>
      <c r="G21" s="53"/>
      <c r="H21" s="63">
        <f t="shared" si="0"/>
        <v>1.7520114622448684</v>
      </c>
      <c r="I21" s="53"/>
      <c r="J21" s="53">
        <v>1385.9351570583271</v>
      </c>
      <c r="K21" s="53">
        <v>-28.817976010668225</v>
      </c>
      <c r="L21" s="55">
        <v>1.0741474312019816</v>
      </c>
      <c r="M21" s="62"/>
      <c r="N21" s="56">
        <f t="shared" si="1"/>
        <v>39.429165207918267</v>
      </c>
    </row>
    <row r="22" spans="1:14" x14ac:dyDescent="0.15">
      <c r="A22" s="51" t="s">
        <v>289</v>
      </c>
      <c r="B22" s="52">
        <v>3.3370000000000002</v>
      </c>
      <c r="C22" s="51" t="s">
        <v>290</v>
      </c>
      <c r="D22" s="53">
        <v>51.846643034664041</v>
      </c>
      <c r="E22" s="55">
        <v>9.1072424733078083</v>
      </c>
      <c r="F22" s="53">
        <v>26253.548059769037</v>
      </c>
      <c r="G22" s="53"/>
      <c r="H22" s="63">
        <f t="shared" si="0"/>
        <v>1.5536902317849577</v>
      </c>
      <c r="I22" s="53"/>
      <c r="J22" s="53">
        <v>1322.529901409129</v>
      </c>
      <c r="K22" s="53">
        <v>-28.526608136626642</v>
      </c>
      <c r="L22" s="55">
        <v>1.0744662275416719</v>
      </c>
      <c r="M22" s="62"/>
      <c r="N22" s="56">
        <f t="shared" si="1"/>
        <v>39.632301510612194</v>
      </c>
    </row>
    <row r="23" spans="1:14" x14ac:dyDescent="0.15">
      <c r="A23" s="51" t="s">
        <v>291</v>
      </c>
      <c r="B23" s="52">
        <v>3.375</v>
      </c>
      <c r="C23" s="51" t="s">
        <v>292</v>
      </c>
      <c r="D23" s="53">
        <v>63.590058932164503</v>
      </c>
      <c r="E23" s="55">
        <v>8.3474570437307385</v>
      </c>
      <c r="F23" s="53">
        <v>23772.800390894536</v>
      </c>
      <c r="G23" s="53"/>
      <c r="H23" s="63">
        <f t="shared" si="0"/>
        <v>1.8841498942863557</v>
      </c>
      <c r="I23" s="53"/>
      <c r="J23" s="53">
        <v>1303.3817833291519</v>
      </c>
      <c r="K23" s="53">
        <v>-29.058243273567214</v>
      </c>
      <c r="L23" s="55">
        <v>1.0738845443803007</v>
      </c>
      <c r="M23" s="62"/>
      <c r="N23" s="56">
        <f t="shared" si="1"/>
        <v>38.61871950604894</v>
      </c>
    </row>
    <row r="24" spans="1:14" x14ac:dyDescent="0.15">
      <c r="A24" s="51" t="s">
        <v>293</v>
      </c>
      <c r="B24" s="52">
        <v>3.133</v>
      </c>
      <c r="C24" s="51" t="s">
        <v>294</v>
      </c>
      <c r="D24" s="53">
        <v>52.295020426725038</v>
      </c>
      <c r="E24" s="55">
        <v>6.6404087659516771</v>
      </c>
      <c r="F24" s="53">
        <v>18346.450761518143</v>
      </c>
      <c r="G24" s="53"/>
      <c r="H24" s="63">
        <f t="shared" si="0"/>
        <v>1.6691675846385268</v>
      </c>
      <c r="I24" s="53"/>
      <c r="J24" s="53">
        <v>1231.6920583259841</v>
      </c>
      <c r="K24" s="53">
        <v>-28.835956154996282</v>
      </c>
      <c r="L24" s="55">
        <v>1.0741277583954669</v>
      </c>
      <c r="M24" s="62"/>
      <c r="N24" s="56">
        <f t="shared" si="1"/>
        <v>39.313503297988639</v>
      </c>
    </row>
    <row r="25" spans="1:14" x14ac:dyDescent="0.15">
      <c r="A25" s="51" t="s">
        <v>295</v>
      </c>
      <c r="B25" s="52">
        <v>3.2469999999999999</v>
      </c>
      <c r="C25" s="51" t="s">
        <v>296</v>
      </c>
      <c r="D25" s="53">
        <v>61.916125523612216</v>
      </c>
      <c r="E25" s="55">
        <v>8.4726659432051914</v>
      </c>
      <c r="F25" s="53">
        <v>24178.781004898348</v>
      </c>
      <c r="G25" s="53"/>
      <c r="H25" s="63">
        <f t="shared" si="0"/>
        <v>1.9068717438747218</v>
      </c>
      <c r="I25" s="53"/>
      <c r="J25" s="53">
        <v>1253.2874025762021</v>
      </c>
      <c r="K25" s="53">
        <v>-28.518533030038913</v>
      </c>
      <c r="L25" s="55">
        <v>1.0744750627844228</v>
      </c>
      <c r="M25" s="62"/>
      <c r="N25" s="56">
        <f t="shared" si="1"/>
        <v>38.598318527138964</v>
      </c>
    </row>
    <row r="26" spans="1:14" x14ac:dyDescent="0.15">
      <c r="A26" s="51" t="s">
        <v>297</v>
      </c>
      <c r="B26" s="52">
        <v>3.3119999999999998</v>
      </c>
      <c r="C26" s="51" t="s">
        <v>298</v>
      </c>
      <c r="D26" s="53">
        <v>55.720063715312513</v>
      </c>
      <c r="E26" s="55">
        <v>10.520291700895836</v>
      </c>
      <c r="F26" s="53">
        <v>30979.277816898182</v>
      </c>
      <c r="G26" s="53"/>
      <c r="H26" s="63">
        <f t="shared" si="0"/>
        <v>1.682369073529967</v>
      </c>
      <c r="I26" s="53"/>
      <c r="J26" s="53">
        <v>1302.3681625497445</v>
      </c>
      <c r="K26" s="53">
        <v>-28.301580588992948</v>
      </c>
      <c r="L26" s="55">
        <v>1.0747124370767014</v>
      </c>
      <c r="M26" s="62"/>
      <c r="N26" s="56">
        <f t="shared" si="1"/>
        <v>39.32271022191258</v>
      </c>
    </row>
    <row r="27" spans="1:14" x14ac:dyDescent="0.15">
      <c r="A27" s="51" t="s">
        <v>299</v>
      </c>
      <c r="B27" s="52">
        <v>3.7949999999999999</v>
      </c>
      <c r="C27" s="51" t="s">
        <v>300</v>
      </c>
      <c r="E27" s="55"/>
      <c r="F27" s="53"/>
      <c r="G27" s="62" t="s">
        <v>301</v>
      </c>
      <c r="H27" s="63" t="s">
        <v>84</v>
      </c>
      <c r="I27" s="53"/>
      <c r="K27" s="53"/>
      <c r="L27" s="55"/>
      <c r="M27" s="62" t="s">
        <v>301</v>
      </c>
      <c r="N27" s="56" t="s">
        <v>84</v>
      </c>
    </row>
    <row r="28" spans="1:14" x14ac:dyDescent="0.15">
      <c r="A28" s="51" t="s">
        <v>302</v>
      </c>
      <c r="B28" s="52">
        <v>3.6520000000000001</v>
      </c>
      <c r="C28" s="51" t="s">
        <v>303</v>
      </c>
      <c r="D28" s="53">
        <v>121.50201307336839</v>
      </c>
      <c r="E28" s="55">
        <v>7.1249043611058429</v>
      </c>
      <c r="F28" s="53">
        <v>19866.287880745418</v>
      </c>
      <c r="G28" s="62" t="s">
        <v>304</v>
      </c>
      <c r="H28" s="63" t="s">
        <v>84</v>
      </c>
      <c r="I28" s="53"/>
      <c r="J28" s="53">
        <v>2935.7170269074577</v>
      </c>
      <c r="K28" s="53">
        <v>-27.669549534522925</v>
      </c>
      <c r="L28" s="55">
        <v>1.0754039550646786</v>
      </c>
      <c r="M28" s="62" t="s">
        <v>304</v>
      </c>
      <c r="N28" s="56" t="s">
        <v>84</v>
      </c>
    </row>
    <row r="29" spans="1:14" x14ac:dyDescent="0.15">
      <c r="A29" s="51" t="s">
        <v>305</v>
      </c>
      <c r="B29" s="52">
        <v>3.6240000000000001</v>
      </c>
      <c r="C29" s="51" t="s">
        <v>306</v>
      </c>
      <c r="D29" s="53">
        <v>68.767775848380055</v>
      </c>
      <c r="E29" s="55">
        <v>10.475889966803114</v>
      </c>
      <c r="F29" s="53">
        <v>30828.512727572877</v>
      </c>
      <c r="G29" s="53"/>
      <c r="H29" s="63">
        <f t="shared" si="0"/>
        <v>1.8975655587301337</v>
      </c>
      <c r="I29" s="53"/>
      <c r="J29" s="53">
        <v>1412.9244108255652</v>
      </c>
      <c r="K29" s="53">
        <v>-28.231633924337444</v>
      </c>
      <c r="L29" s="55">
        <v>1.0747889676160882</v>
      </c>
      <c r="M29" s="62"/>
      <c r="N29" s="56">
        <f t="shared" si="1"/>
        <v>38.987980431169014</v>
      </c>
    </row>
    <row r="30" spans="1:14" x14ac:dyDescent="0.15">
      <c r="A30" s="51" t="s">
        <v>307</v>
      </c>
      <c r="B30" s="52">
        <v>3.6909999999999998</v>
      </c>
      <c r="C30" s="51" t="s">
        <v>308</v>
      </c>
      <c r="D30" s="53">
        <v>63.24886006661194</v>
      </c>
      <c r="E30" s="55">
        <v>10.506090101376293</v>
      </c>
      <c r="F30" s="53">
        <v>30931.040332713477</v>
      </c>
      <c r="G30" s="53"/>
      <c r="H30" s="63">
        <f t="shared" si="0"/>
        <v>1.7135968590249782</v>
      </c>
      <c r="I30" s="53"/>
      <c r="J30" s="53">
        <v>1449.1901024248796</v>
      </c>
      <c r="K30" s="53">
        <v>-28.87666782521887</v>
      </c>
      <c r="L30" s="55">
        <v>1.0740832140738819</v>
      </c>
      <c r="M30" s="62"/>
      <c r="N30" s="56">
        <f t="shared" si="1"/>
        <v>39.262804183822261</v>
      </c>
    </row>
    <row r="31" spans="1:14" x14ac:dyDescent="0.15">
      <c r="A31" s="51" t="s">
        <v>309</v>
      </c>
      <c r="B31" s="52">
        <v>3.629</v>
      </c>
      <c r="C31" s="51" t="s">
        <v>310</v>
      </c>
      <c r="D31" s="53">
        <v>63.276153762585359</v>
      </c>
      <c r="E31" s="55">
        <v>9.6935979293536771</v>
      </c>
      <c r="F31" s="53">
        <v>28196.573921981966</v>
      </c>
      <c r="G31" s="53"/>
      <c r="H31" s="63">
        <f t="shared" si="0"/>
        <v>1.7436250692363007</v>
      </c>
      <c r="I31" s="53"/>
      <c r="J31" s="53">
        <v>1428.7842630531693</v>
      </c>
      <c r="K31" s="53">
        <v>-28.385608325092235</v>
      </c>
      <c r="L31" s="55">
        <v>1.0746204998992805</v>
      </c>
      <c r="M31" s="62"/>
      <c r="N31" s="56">
        <f t="shared" si="1"/>
        <v>39.37129410452382</v>
      </c>
    </row>
    <row r="32" spans="1:14" x14ac:dyDescent="0.15">
      <c r="A32" s="51" t="s">
        <v>311</v>
      </c>
      <c r="B32" s="52">
        <v>3.1909999999999998</v>
      </c>
      <c r="C32" s="51" t="s">
        <v>312</v>
      </c>
      <c r="D32" s="53">
        <v>53.471423140949888</v>
      </c>
      <c r="E32" s="55">
        <v>9.8210197328406448</v>
      </c>
      <c r="F32" s="53">
        <v>28622.15794690562</v>
      </c>
      <c r="G32" s="53"/>
      <c r="H32" s="63">
        <f t="shared" si="0"/>
        <v>1.6756948649623908</v>
      </c>
      <c r="I32" s="53"/>
      <c r="J32" s="53">
        <v>1262.8201040670945</v>
      </c>
      <c r="K32" s="53">
        <v>-29.079650579069675</v>
      </c>
      <c r="L32" s="55">
        <v>1.0738611216521101</v>
      </c>
      <c r="M32" s="62"/>
      <c r="N32" s="56">
        <f t="shared" si="1"/>
        <v>39.574431340241134</v>
      </c>
    </row>
    <row r="33" spans="1:14" x14ac:dyDescent="0.15">
      <c r="A33" s="51" t="s">
        <v>313</v>
      </c>
      <c r="B33" s="52">
        <v>3.8220000000000001</v>
      </c>
      <c r="C33" s="51" t="s">
        <v>314</v>
      </c>
      <c r="D33" s="53">
        <v>64.121498692321609</v>
      </c>
      <c r="E33" s="55">
        <v>8.2585136728787596</v>
      </c>
      <c r="F33" s="53">
        <v>23485.081270990569</v>
      </c>
      <c r="G33" s="53"/>
      <c r="H33" s="63">
        <f t="shared" si="0"/>
        <v>1.6776948899089903</v>
      </c>
      <c r="I33" s="53"/>
      <c r="J33" s="53">
        <v>1499.9376346728516</v>
      </c>
      <c r="K33" s="53">
        <v>-28.702756307994463</v>
      </c>
      <c r="L33" s="55">
        <v>1.0742734975747936</v>
      </c>
      <c r="M33" s="62"/>
      <c r="N33" s="56">
        <f t="shared" si="1"/>
        <v>39.244836072026466</v>
      </c>
    </row>
    <row r="34" spans="1:14" x14ac:dyDescent="0.15">
      <c r="A34" s="51" t="s">
        <v>315</v>
      </c>
      <c r="B34" s="52">
        <v>3.2290000000000001</v>
      </c>
      <c r="C34" s="51" t="s">
        <v>316</v>
      </c>
      <c r="D34" s="53">
        <v>53.061296531358003</v>
      </c>
      <c r="E34" s="55">
        <v>7.1251560627370347</v>
      </c>
      <c r="F34" s="53">
        <v>19867.081576557513</v>
      </c>
      <c r="G34" s="53"/>
      <c r="H34" s="63">
        <f t="shared" si="0"/>
        <v>1.6432733518537628</v>
      </c>
      <c r="I34" s="53"/>
      <c r="J34" s="53">
        <v>1255.4318654528827</v>
      </c>
      <c r="K34" s="53">
        <v>-28.298502029289633</v>
      </c>
      <c r="L34" s="55">
        <v>1.0747158054147063</v>
      </c>
      <c r="M34" s="62"/>
      <c r="N34" s="56">
        <f t="shared" si="1"/>
        <v>38.879896731275402</v>
      </c>
    </row>
    <row r="35" spans="1:14" x14ac:dyDescent="0.15">
      <c r="A35" s="51" t="s">
        <v>317</v>
      </c>
      <c r="B35" s="52">
        <v>3.1230000000000002</v>
      </c>
      <c r="C35" s="51" t="s">
        <v>318</v>
      </c>
      <c r="D35" s="53">
        <v>56.484087206575794</v>
      </c>
      <c r="E35" s="55">
        <v>9.2647702394871825</v>
      </c>
      <c r="F35" s="53">
        <v>26773.086063848081</v>
      </c>
      <c r="G35" s="53"/>
      <c r="H35" s="63">
        <f t="shared" si="0"/>
        <v>1.8086483255387702</v>
      </c>
      <c r="I35" s="53"/>
      <c r="J35" s="53">
        <v>1224.5478593111764</v>
      </c>
      <c r="K35" s="53">
        <v>-28.71966165366025</v>
      </c>
      <c r="L35" s="55">
        <v>1.0742550007965315</v>
      </c>
      <c r="M35" s="62"/>
      <c r="N35" s="56">
        <f t="shared" si="1"/>
        <v>39.210626298788867</v>
      </c>
    </row>
    <row r="36" spans="1:14" x14ac:dyDescent="0.15">
      <c r="A36" s="51" t="s">
        <v>319</v>
      </c>
      <c r="B36" s="52">
        <v>3.4020000000000001</v>
      </c>
      <c r="C36" s="51" t="s">
        <v>320</v>
      </c>
      <c r="D36" s="53">
        <v>52.917300604404197</v>
      </c>
      <c r="E36" s="55">
        <v>10.694158835577861</v>
      </c>
      <c r="F36" s="53">
        <v>31571.082641932768</v>
      </c>
      <c r="G36" s="53"/>
      <c r="H36" s="63">
        <f t="shared" si="0"/>
        <v>1.5554762082423337</v>
      </c>
      <c r="I36" s="53"/>
      <c r="J36" s="53">
        <v>1352.5249955764314</v>
      </c>
      <c r="K36" s="53">
        <v>-27.629432868758965</v>
      </c>
      <c r="L36" s="55">
        <v>1.0754478471955602</v>
      </c>
      <c r="M36" s="62"/>
      <c r="N36" s="56">
        <f t="shared" si="1"/>
        <v>39.756760598954479</v>
      </c>
    </row>
    <row r="37" spans="1:14" x14ac:dyDescent="0.15">
      <c r="A37" s="51" t="s">
        <v>321</v>
      </c>
      <c r="B37" s="52">
        <v>3.5750000000000002</v>
      </c>
      <c r="C37" s="51" t="s">
        <v>322</v>
      </c>
      <c r="D37" s="53">
        <v>63.468828545445191</v>
      </c>
      <c r="E37" s="55">
        <v>8.016963859907591</v>
      </c>
      <c r="F37" s="53">
        <v>22706.509554652683</v>
      </c>
      <c r="G37" s="53"/>
      <c r="H37" s="63">
        <f t="shared" si="0"/>
        <v>1.7753518474250403</v>
      </c>
      <c r="I37" s="53"/>
      <c r="J37" s="53">
        <v>1400.2438440446408</v>
      </c>
      <c r="K37" s="53">
        <v>-28.686135305596029</v>
      </c>
      <c r="L37" s="55">
        <v>1.0742916832355862</v>
      </c>
      <c r="M37" s="62"/>
      <c r="N37" s="56">
        <f t="shared" si="1"/>
        <v>39.167659973276663</v>
      </c>
    </row>
    <row r="38" spans="1:14" x14ac:dyDescent="0.15">
      <c r="A38" s="51" t="s">
        <v>323</v>
      </c>
      <c r="B38" s="52">
        <v>3.1850000000000001</v>
      </c>
      <c r="C38" s="51" t="s">
        <v>324</v>
      </c>
      <c r="D38" s="53">
        <v>55.080899339144686</v>
      </c>
      <c r="E38" s="55">
        <v>9.6372749997707778</v>
      </c>
      <c r="F38" s="53">
        <v>28008.839976753323</v>
      </c>
      <c r="G38" s="53"/>
      <c r="H38" s="63">
        <f t="shared" si="0"/>
        <v>1.7293845946356259</v>
      </c>
      <c r="I38" s="53"/>
      <c r="J38" s="53">
        <v>1262.7592762083561</v>
      </c>
      <c r="K38" s="53">
        <v>-28.513372322367083</v>
      </c>
      <c r="L38" s="55">
        <v>1.0744807092855402</v>
      </c>
      <c r="M38" s="62"/>
      <c r="N38" s="56">
        <f t="shared" si="1"/>
        <v>39.647073036369108</v>
      </c>
    </row>
    <row r="39" spans="1:14" x14ac:dyDescent="0.15">
      <c r="A39" s="51" t="s">
        <v>325</v>
      </c>
      <c r="B39" s="52">
        <v>3.7029999999999998</v>
      </c>
      <c r="C39" s="51" t="s">
        <v>326</v>
      </c>
      <c r="D39" s="53">
        <v>65.472223302020268</v>
      </c>
      <c r="E39" s="55">
        <v>7.7966636582093569</v>
      </c>
      <c r="F39" s="53">
        <v>21999.987134601804</v>
      </c>
      <c r="G39" s="53"/>
      <c r="H39" s="63">
        <f t="shared" si="0"/>
        <v>1.7680859654879901</v>
      </c>
      <c r="I39" s="53"/>
      <c r="J39" s="53">
        <v>1421.091068418132</v>
      </c>
      <c r="K39" s="53">
        <v>-29.373370787170963</v>
      </c>
      <c r="L39" s="55">
        <v>1.0735397475970656</v>
      </c>
      <c r="M39" s="62"/>
      <c r="N39" s="56">
        <f t="shared" si="1"/>
        <v>38.376750429871237</v>
      </c>
    </row>
    <row r="40" spans="1:14" x14ac:dyDescent="0.15">
      <c r="A40" s="51" t="s">
        <v>327</v>
      </c>
      <c r="B40" s="52">
        <v>3.2040000000000002</v>
      </c>
      <c r="C40" s="51" t="s">
        <v>328</v>
      </c>
      <c r="D40" s="53">
        <v>50.776541470467222</v>
      </c>
      <c r="E40" s="55">
        <v>7.5248318334239075</v>
      </c>
      <c r="F40" s="53">
        <v>21132.837661905331</v>
      </c>
      <c r="G40" s="53"/>
      <c r="H40" s="63">
        <f t="shared" si="0"/>
        <v>1.5847859385289393</v>
      </c>
      <c r="I40" s="53"/>
      <c r="J40" s="53">
        <v>1272.6533386680978</v>
      </c>
      <c r="K40" s="53">
        <v>-28.968243869212987</v>
      </c>
      <c r="L40" s="55">
        <v>1.0739830167914006</v>
      </c>
      <c r="M40" s="62"/>
      <c r="N40" s="56">
        <f t="shared" si="1"/>
        <v>39.720765876033013</v>
      </c>
    </row>
    <row r="41" spans="1:14" x14ac:dyDescent="0.15">
      <c r="A41" s="51" t="s">
        <v>329</v>
      </c>
      <c r="B41" s="52">
        <v>3.65</v>
      </c>
      <c r="C41" s="51" t="s">
        <v>330</v>
      </c>
      <c r="D41" s="53">
        <v>67.9916000739872</v>
      </c>
      <c r="E41" s="55">
        <v>8.642871867378549</v>
      </c>
      <c r="F41" s="53">
        <v>24732.445724164634</v>
      </c>
      <c r="G41" s="53"/>
      <c r="H41" s="63">
        <f t="shared" si="0"/>
        <v>1.8627835636708823</v>
      </c>
      <c r="I41" s="53"/>
      <c r="J41" s="53">
        <v>1413.0496717605351</v>
      </c>
      <c r="K41" s="53">
        <v>-29.196375875066025</v>
      </c>
      <c r="L41" s="55">
        <v>1.0737334068840036</v>
      </c>
      <c r="M41" s="62"/>
      <c r="N41" s="56">
        <f t="shared" si="1"/>
        <v>38.713689637274939</v>
      </c>
    </row>
    <row r="42" spans="1:14" x14ac:dyDescent="0.15">
      <c r="A42" s="51" t="s">
        <v>331</v>
      </c>
      <c r="B42" s="52">
        <v>3.5939999999999999</v>
      </c>
      <c r="C42" s="51" t="s">
        <v>332</v>
      </c>
      <c r="D42" s="53">
        <v>69.886850179810324</v>
      </c>
      <c r="E42" s="55">
        <v>9.4827478188518377</v>
      </c>
      <c r="F42" s="53">
        <v>27494.974275972363</v>
      </c>
      <c r="G42" s="53"/>
      <c r="H42" s="63">
        <f t="shared" si="0"/>
        <v>1.9445422977131421</v>
      </c>
      <c r="I42" s="53"/>
      <c r="J42" s="53">
        <v>1422.720914925065</v>
      </c>
      <c r="K42" s="53">
        <v>-29.364961629532505</v>
      </c>
      <c r="L42" s="55">
        <v>1.0735489485084881</v>
      </c>
      <c r="M42" s="62"/>
      <c r="N42" s="56">
        <f t="shared" si="1"/>
        <v>39.586002084726353</v>
      </c>
    </row>
    <row r="43" spans="1:14" x14ac:dyDescent="0.15">
      <c r="A43" s="51" t="s">
        <v>333</v>
      </c>
      <c r="B43" s="52">
        <v>3.9020000000000001</v>
      </c>
      <c r="C43" s="51" t="s">
        <v>334</v>
      </c>
      <c r="D43" s="53">
        <v>71.018086899200213</v>
      </c>
      <c r="E43" s="55">
        <v>9.9711498678555639</v>
      </c>
      <c r="F43" s="53">
        <v>29125.132810508057</v>
      </c>
      <c r="G43" s="53"/>
      <c r="H43" s="63">
        <f t="shared" si="0"/>
        <v>1.8200432316555666</v>
      </c>
      <c r="I43" s="53"/>
      <c r="J43" s="53">
        <v>1525.399582926404</v>
      </c>
      <c r="K43" s="53">
        <v>-28.989880511242358</v>
      </c>
      <c r="L43" s="55">
        <v>1.0739593431825247</v>
      </c>
      <c r="M43" s="62"/>
      <c r="N43" s="56">
        <f t="shared" si="1"/>
        <v>39.092762248242032</v>
      </c>
    </row>
    <row r="44" spans="1:14" x14ac:dyDescent="0.15">
      <c r="A44" s="51" t="s">
        <v>335</v>
      </c>
      <c r="B44" s="52">
        <v>3.3010000000000002</v>
      </c>
      <c r="C44" s="51" t="s">
        <v>336</v>
      </c>
      <c r="D44" s="53">
        <v>55.229400955647222</v>
      </c>
      <c r="E44" s="55">
        <v>9.9728672216923826</v>
      </c>
      <c r="F44" s="53">
        <v>29130.896095454358</v>
      </c>
      <c r="G44" s="53"/>
      <c r="H44" s="63">
        <f t="shared" si="0"/>
        <v>1.6731112073810124</v>
      </c>
      <c r="I44" s="53"/>
      <c r="J44" s="53">
        <v>1302.2720231189321</v>
      </c>
      <c r="K44" s="53">
        <v>-29.381732700780073</v>
      </c>
      <c r="L44" s="55">
        <v>1.073530598376178</v>
      </c>
      <c r="M44" s="62"/>
      <c r="N44" s="56">
        <f t="shared" si="1"/>
        <v>39.450833781246054</v>
      </c>
    </row>
    <row r="45" spans="1:14" x14ac:dyDescent="0.15">
      <c r="A45" s="51" t="s">
        <v>337</v>
      </c>
      <c r="B45" s="52">
        <v>3.83</v>
      </c>
      <c r="C45" s="51" t="s">
        <v>338</v>
      </c>
      <c r="D45" s="53">
        <v>66.846331345431338</v>
      </c>
      <c r="E45" s="55">
        <v>7.5040168698132055</v>
      </c>
      <c r="F45" s="53">
        <v>21066.647554914096</v>
      </c>
      <c r="G45" s="53"/>
      <c r="H45" s="63">
        <f t="shared" si="0"/>
        <v>1.745335022073925</v>
      </c>
      <c r="I45" s="53"/>
      <c r="J45" s="53">
        <v>1470.7967906518579</v>
      </c>
      <c r="K45" s="53">
        <v>-27.770630393635976</v>
      </c>
      <c r="L45" s="55">
        <v>1.0752933610972621</v>
      </c>
      <c r="M45" s="62"/>
      <c r="N45" s="56">
        <f t="shared" si="1"/>
        <v>38.402004977855299</v>
      </c>
    </row>
    <row r="46" spans="1:14" x14ac:dyDescent="0.15">
      <c r="A46" s="51" t="s">
        <v>339</v>
      </c>
      <c r="B46" s="52">
        <v>3.4079999999999999</v>
      </c>
      <c r="C46" s="51" t="s">
        <v>340</v>
      </c>
      <c r="D46" s="53">
        <v>57.214285667185521</v>
      </c>
      <c r="E46" s="55">
        <v>7.7622989571637735</v>
      </c>
      <c r="F46" s="53">
        <v>21890.08075711488</v>
      </c>
      <c r="G46" s="53"/>
      <c r="H46" s="63">
        <f t="shared" si="0"/>
        <v>1.6788229362437064</v>
      </c>
      <c r="I46" s="53"/>
      <c r="J46" s="53">
        <v>1333.6499066438537</v>
      </c>
      <c r="K46" s="53">
        <v>-28.787881801845927</v>
      </c>
      <c r="L46" s="55">
        <v>1.0741803584811951</v>
      </c>
      <c r="M46" s="62"/>
      <c r="N46" s="56">
        <f t="shared" si="1"/>
        <v>39.13291979588773</v>
      </c>
    </row>
    <row r="47" spans="1:14" x14ac:dyDescent="0.15">
      <c r="A47" s="51" t="s">
        <v>341</v>
      </c>
      <c r="B47" s="52">
        <v>3.1760000000000002</v>
      </c>
      <c r="C47" s="51" t="s">
        <v>342</v>
      </c>
      <c r="D47" s="53">
        <v>57.041919578809392</v>
      </c>
      <c r="E47" s="55">
        <v>9.0775716524394543</v>
      </c>
      <c r="F47" s="53">
        <v>26155.893014508147</v>
      </c>
      <c r="G47" s="53"/>
      <c r="H47" s="63">
        <f t="shared" si="0"/>
        <v>1.796030213438583</v>
      </c>
      <c r="I47" s="53"/>
      <c r="J47" s="53">
        <v>1240.5581636134305</v>
      </c>
      <c r="K47" s="53">
        <v>-28.974456584836823</v>
      </c>
      <c r="L47" s="55">
        <v>1.0739762191850788</v>
      </c>
      <c r="M47" s="62"/>
      <c r="N47" s="56">
        <f t="shared" si="1"/>
        <v>39.060395579767956</v>
      </c>
    </row>
    <row r="48" spans="1:14" x14ac:dyDescent="0.15">
      <c r="A48" s="51" t="s">
        <v>343</v>
      </c>
      <c r="B48" s="52">
        <v>3.4529999999999998</v>
      </c>
      <c r="C48" s="51" t="s">
        <v>344</v>
      </c>
      <c r="D48" s="53">
        <v>57.258563366461296</v>
      </c>
      <c r="E48" s="55">
        <v>10.94058009908021</v>
      </c>
      <c r="F48" s="53">
        <v>32413.803769984355</v>
      </c>
      <c r="G48" s="53"/>
      <c r="H48" s="63">
        <f t="shared" si="0"/>
        <v>1.6582265672302723</v>
      </c>
      <c r="I48" s="53"/>
      <c r="J48" s="53">
        <v>1375.0099017384041</v>
      </c>
      <c r="K48" s="53">
        <v>-28.738130732285192</v>
      </c>
      <c r="L48" s="55">
        <v>1.0742347930709724</v>
      </c>
      <c r="M48" s="62"/>
      <c r="N48" s="56">
        <f t="shared" si="1"/>
        <v>39.820732746550945</v>
      </c>
    </row>
    <row r="49" spans="1:14" x14ac:dyDescent="0.15">
      <c r="A49" s="51" t="s">
        <v>345</v>
      </c>
      <c r="B49" s="52">
        <v>3.5819999999999999</v>
      </c>
      <c r="C49" s="51" t="s">
        <v>346</v>
      </c>
      <c r="D49" s="53">
        <v>64.445491840626318</v>
      </c>
      <c r="E49" s="55">
        <v>9.9899811095963553</v>
      </c>
      <c r="F49" s="53">
        <v>29188.340778972066</v>
      </c>
      <c r="G49" s="53"/>
      <c r="H49" s="63">
        <f t="shared" si="0"/>
        <v>1.7991482925914661</v>
      </c>
      <c r="I49" s="53"/>
      <c r="J49" s="53">
        <v>1397.9610598969402</v>
      </c>
      <c r="K49" s="53">
        <v>-28.828764472109377</v>
      </c>
      <c r="L49" s="55">
        <v>1.0741356271088793</v>
      </c>
      <c r="M49" s="62"/>
      <c r="N49" s="56">
        <f t="shared" si="1"/>
        <v>39.027388606838088</v>
      </c>
    </row>
    <row r="50" spans="1:14" x14ac:dyDescent="0.15">
      <c r="A50" s="51" t="s">
        <v>347</v>
      </c>
      <c r="B50" s="52">
        <v>3.1970000000000001</v>
      </c>
      <c r="C50" s="51" t="s">
        <v>348</v>
      </c>
      <c r="D50" s="53">
        <v>54.675165857612662</v>
      </c>
      <c r="E50" s="55">
        <v>9.9191137354104804</v>
      </c>
      <c r="F50" s="53">
        <v>28950.608437490453</v>
      </c>
      <c r="G50" s="53"/>
      <c r="H50" s="63">
        <f t="shared" si="0"/>
        <v>1.7102022476575747</v>
      </c>
      <c r="I50" s="53"/>
      <c r="J50" s="53">
        <v>1270.2898495715503</v>
      </c>
      <c r="K50" s="53">
        <v>-28.514171253850456</v>
      </c>
      <c r="L50" s="55">
        <v>1.0744798351481963</v>
      </c>
      <c r="M50" s="62"/>
      <c r="N50" s="56">
        <f t="shared" si="1"/>
        <v>39.733808244340018</v>
      </c>
    </row>
    <row r="51" spans="1:14" x14ac:dyDescent="0.15">
      <c r="A51" s="51" t="s">
        <v>349</v>
      </c>
      <c r="B51" s="52">
        <v>3.6920000000000002</v>
      </c>
      <c r="C51" s="51" t="s">
        <v>350</v>
      </c>
      <c r="D51" s="53">
        <v>64.617691517751084</v>
      </c>
      <c r="E51" s="55">
        <v>7.7932317692647075</v>
      </c>
      <c r="F51" s="53">
        <v>21989.00746633868</v>
      </c>
      <c r="G51" s="53"/>
      <c r="H51" s="63">
        <f t="shared" si="0"/>
        <v>1.7502083292998669</v>
      </c>
      <c r="I51" s="53"/>
      <c r="J51" s="53">
        <v>1418.2206592967491</v>
      </c>
      <c r="K51" s="53">
        <v>-28.989620113065993</v>
      </c>
      <c r="L51" s="55">
        <v>1.0739596280957766</v>
      </c>
      <c r="M51" s="62"/>
      <c r="N51" s="56">
        <f t="shared" si="1"/>
        <v>38.413343967950944</v>
      </c>
    </row>
    <row r="52" spans="1:14" x14ac:dyDescent="0.15">
      <c r="A52" s="51" t="s">
        <v>351</v>
      </c>
      <c r="B52" s="52">
        <v>3.1819999999999999</v>
      </c>
      <c r="C52" s="51" t="s">
        <v>352</v>
      </c>
      <c r="D52" s="53">
        <v>51.101033735667784</v>
      </c>
      <c r="E52" s="55">
        <v>7.735591777936043</v>
      </c>
      <c r="F52" s="53">
        <v>21804.721469859192</v>
      </c>
      <c r="G52" s="53"/>
      <c r="H52" s="63">
        <f t="shared" si="0"/>
        <v>1.605940720794085</v>
      </c>
      <c r="I52" s="53"/>
      <c r="J52" s="53">
        <v>1255.6451430790785</v>
      </c>
      <c r="K52" s="53">
        <v>-28.655998811375575</v>
      </c>
      <c r="L52" s="55">
        <v>1.0743246566847691</v>
      </c>
      <c r="M52" s="62"/>
      <c r="N52" s="56">
        <f t="shared" si="1"/>
        <v>39.460878160876135</v>
      </c>
    </row>
    <row r="53" spans="1:14" x14ac:dyDescent="0.15">
      <c r="A53" s="51" t="s">
        <v>353</v>
      </c>
      <c r="B53" s="52">
        <v>3.14</v>
      </c>
      <c r="C53" s="51" t="s">
        <v>354</v>
      </c>
      <c r="D53" s="53">
        <v>61.270100470251052</v>
      </c>
      <c r="E53" s="55">
        <v>10.201825882085227</v>
      </c>
      <c r="F53" s="53">
        <v>29901.23455392247</v>
      </c>
      <c r="G53" s="53"/>
      <c r="H53" s="63">
        <f t="shared" si="0"/>
        <v>1.9512770850398424</v>
      </c>
      <c r="I53" s="53"/>
      <c r="J53" s="53">
        <v>1247.1169363595377</v>
      </c>
      <c r="K53" s="53">
        <v>-28.739611002665711</v>
      </c>
      <c r="L53" s="55">
        <v>1.0742331734501558</v>
      </c>
      <c r="M53" s="62"/>
      <c r="N53" s="56">
        <f t="shared" si="1"/>
        <v>39.71709988406171</v>
      </c>
    </row>
    <row r="54" spans="1:14" x14ac:dyDescent="0.15">
      <c r="A54" s="51" t="s">
        <v>355</v>
      </c>
      <c r="B54" s="52">
        <v>3.306</v>
      </c>
      <c r="C54" s="51" t="s">
        <v>356</v>
      </c>
      <c r="D54" s="53">
        <v>54.479794825423525</v>
      </c>
      <c r="E54" s="55">
        <v>10.148209882881355</v>
      </c>
      <c r="F54" s="53">
        <v>29720.48984464016</v>
      </c>
      <c r="G54" s="53"/>
      <c r="H54" s="63">
        <f t="shared" si="0"/>
        <v>1.647906679534892</v>
      </c>
      <c r="I54" s="53"/>
      <c r="J54" s="53">
        <v>1286.0812712243981</v>
      </c>
      <c r="K54" s="53">
        <v>-28.85649884930147</v>
      </c>
      <c r="L54" s="55">
        <v>1.0741052817893186</v>
      </c>
      <c r="M54" s="62"/>
      <c r="N54" s="56">
        <f t="shared" si="1"/>
        <v>38.901429861597038</v>
      </c>
    </row>
    <row r="55" spans="1:14" x14ac:dyDescent="0.15">
      <c r="A55" s="51" t="s">
        <v>357</v>
      </c>
      <c r="B55" s="52">
        <v>3.87</v>
      </c>
      <c r="C55" s="51" t="s">
        <v>358</v>
      </c>
      <c r="D55" s="53">
        <v>69.942119409797044</v>
      </c>
      <c r="E55" s="55">
        <v>8.800245186696376</v>
      </c>
      <c r="F55" s="53">
        <v>25246.2058862017</v>
      </c>
      <c r="G55" s="53"/>
      <c r="H55" s="63">
        <f t="shared" si="0"/>
        <v>1.8072899072298976</v>
      </c>
      <c r="I55" s="53"/>
      <c r="J55" s="53">
        <v>1503.251798807546</v>
      </c>
      <c r="K55" s="53">
        <v>-28.987111277745232</v>
      </c>
      <c r="L55" s="55">
        <v>1.0739623731242454</v>
      </c>
      <c r="M55" s="62"/>
      <c r="N55" s="56">
        <f t="shared" si="1"/>
        <v>38.843715731461138</v>
      </c>
    </row>
    <row r="56" spans="1:14" x14ac:dyDescent="0.15">
      <c r="A56" s="51" t="s">
        <v>359</v>
      </c>
      <c r="B56" s="52">
        <v>3.27</v>
      </c>
      <c r="C56" s="51" t="s">
        <v>360</v>
      </c>
      <c r="D56" s="53">
        <v>61.189683415150022</v>
      </c>
      <c r="E56" s="55">
        <v>9.6381221398966002</v>
      </c>
      <c r="F56" s="53">
        <v>28011.661905970024</v>
      </c>
      <c r="G56" s="53"/>
      <c r="H56" s="63">
        <f t="shared" si="0"/>
        <v>1.8712441411360863</v>
      </c>
      <c r="I56" s="53"/>
      <c r="J56" s="53">
        <v>1288.9574708879582</v>
      </c>
      <c r="K56" s="53">
        <v>-28.635921586764642</v>
      </c>
      <c r="L56" s="55">
        <v>1.0743466239040791</v>
      </c>
      <c r="M56" s="62"/>
      <c r="N56" s="56">
        <f t="shared" si="1"/>
        <v>39.417659660182203</v>
      </c>
    </row>
    <row r="57" spans="1:14" x14ac:dyDescent="0.15">
      <c r="A57" s="51" t="s">
        <v>361</v>
      </c>
      <c r="B57" s="52">
        <v>3.5590000000000002</v>
      </c>
      <c r="C57" s="51" t="s">
        <v>362</v>
      </c>
      <c r="D57" s="53">
        <v>64.416438815515363</v>
      </c>
      <c r="E57" s="55">
        <v>7.8872485925687572</v>
      </c>
      <c r="F57" s="53">
        <v>22290.092000117915</v>
      </c>
      <c r="G57" s="53"/>
      <c r="H57" s="63">
        <f t="shared" si="0"/>
        <v>1.809958943959409</v>
      </c>
      <c r="I57" s="53"/>
      <c r="J57" s="53">
        <v>1390.8517937365625</v>
      </c>
      <c r="K57" s="53">
        <v>-29.108398412663593</v>
      </c>
      <c r="L57" s="55">
        <v>1.0738296672934209</v>
      </c>
      <c r="M57" s="62"/>
      <c r="N57" s="56">
        <f t="shared" si="1"/>
        <v>39.079848095997818</v>
      </c>
    </row>
    <row r="58" spans="1:14" x14ac:dyDescent="0.15">
      <c r="A58" s="51" t="s">
        <v>363</v>
      </c>
      <c r="B58" s="52">
        <v>3.5310000000000001</v>
      </c>
      <c r="C58" s="51" t="s">
        <v>364</v>
      </c>
      <c r="D58" s="53">
        <v>55.787082116424145</v>
      </c>
      <c r="E58" s="55">
        <v>7.4261216243730042</v>
      </c>
      <c r="F58" s="53">
        <v>20819.210323264095</v>
      </c>
      <c r="G58" s="53"/>
      <c r="H58" s="63">
        <f t="shared" si="0"/>
        <v>1.5799230279361129</v>
      </c>
      <c r="I58" s="53"/>
      <c r="J58" s="53">
        <v>1388.6988793477638</v>
      </c>
      <c r="K58" s="53">
        <v>-28.813400413511559</v>
      </c>
      <c r="L58" s="55">
        <v>1.0741524375475069</v>
      </c>
      <c r="M58" s="62"/>
      <c r="N58" s="56">
        <f t="shared" si="1"/>
        <v>39.328770301550939</v>
      </c>
    </row>
    <row r="59" spans="1:14" x14ac:dyDescent="0.15">
      <c r="A59" s="51" t="s">
        <v>365</v>
      </c>
      <c r="B59" s="52">
        <v>3.2480000000000002</v>
      </c>
      <c r="C59" s="51" t="s">
        <v>366</v>
      </c>
      <c r="D59" s="53">
        <v>56.641909994070105</v>
      </c>
      <c r="E59" s="55">
        <v>7.9102244986632382</v>
      </c>
      <c r="F59" s="53">
        <v>22363.764754691576</v>
      </c>
      <c r="G59" s="53"/>
      <c r="H59" s="63">
        <f t="shared" si="0"/>
        <v>1.7439011697681681</v>
      </c>
      <c r="I59" s="53"/>
      <c r="J59" s="53">
        <v>1272.1703991992626</v>
      </c>
      <c r="K59" s="53">
        <v>-28.743857287050567</v>
      </c>
      <c r="L59" s="55">
        <v>1.0742285274266263</v>
      </c>
      <c r="M59" s="62"/>
      <c r="N59" s="56">
        <f t="shared" si="1"/>
        <v>39.167807857120152</v>
      </c>
    </row>
    <row r="60" spans="1:14" x14ac:dyDescent="0.15">
      <c r="A60" s="51" t="s">
        <v>367</v>
      </c>
      <c r="B60" s="52">
        <v>3.6469999999999998</v>
      </c>
      <c r="C60" s="51" t="s">
        <v>368</v>
      </c>
      <c r="D60" s="53">
        <v>62.301674998015407</v>
      </c>
      <c r="E60" s="55">
        <v>9.0118490478987994</v>
      </c>
      <c r="F60" s="53">
        <v>25939.808159110813</v>
      </c>
      <c r="G60" s="53"/>
      <c r="H60" s="63">
        <f t="shared" si="0"/>
        <v>1.7082992870308584</v>
      </c>
      <c r="I60" s="53"/>
      <c r="J60" s="53">
        <v>1434.7642968476589</v>
      </c>
      <c r="K60" s="53">
        <v>-28.849074007160475</v>
      </c>
      <c r="L60" s="55">
        <v>1.0741134056154462</v>
      </c>
      <c r="M60" s="62"/>
      <c r="N60" s="56">
        <f t="shared" si="1"/>
        <v>39.34094589656317</v>
      </c>
    </row>
    <row r="61" spans="1:14" x14ac:dyDescent="0.15">
      <c r="A61" s="51" t="s">
        <v>369</v>
      </c>
      <c r="B61" s="52">
        <v>3.2639999999999998</v>
      </c>
      <c r="C61" s="51" t="s">
        <v>370</v>
      </c>
      <c r="D61" s="53">
        <v>54.933955613540626</v>
      </c>
      <c r="E61" s="55">
        <v>6.9420159666511649</v>
      </c>
      <c r="F61" s="53">
        <v>19290.717200004539</v>
      </c>
      <c r="G61" s="53"/>
      <c r="H61" s="63">
        <f t="shared" si="0"/>
        <v>1.6830256009050439</v>
      </c>
      <c r="I61" s="53"/>
      <c r="J61" s="53">
        <v>1267.8118688842487</v>
      </c>
      <c r="K61" s="53">
        <v>-29.166398735948704</v>
      </c>
      <c r="L61" s="55">
        <v>1.0737662063471491</v>
      </c>
      <c r="M61" s="62"/>
      <c r="N61" s="56">
        <f t="shared" si="1"/>
        <v>38.842275394738017</v>
      </c>
    </row>
    <row r="62" spans="1:14" x14ac:dyDescent="0.15">
      <c r="A62" s="51" t="s">
        <v>371</v>
      </c>
      <c r="B62" s="52">
        <v>3.137</v>
      </c>
      <c r="C62" s="51" t="s">
        <v>372</v>
      </c>
      <c r="D62" s="53">
        <v>54.752160890049346</v>
      </c>
      <c r="E62" s="55">
        <v>10.991539543912269</v>
      </c>
      <c r="F62" s="53">
        <v>32588.659136738839</v>
      </c>
      <c r="G62" s="53"/>
      <c r="H62" s="63">
        <f t="shared" si="0"/>
        <v>1.745366939434152</v>
      </c>
      <c r="I62" s="53"/>
      <c r="J62" s="53">
        <v>1230.3992759053965</v>
      </c>
      <c r="K62" s="53">
        <v>-28.680466697823608</v>
      </c>
      <c r="L62" s="55">
        <v>1.0742978854699781</v>
      </c>
      <c r="M62" s="62"/>
      <c r="N62" s="56">
        <f t="shared" si="1"/>
        <v>39.222163720286787</v>
      </c>
    </row>
    <row r="63" spans="1:14" x14ac:dyDescent="0.15">
      <c r="A63" s="51" t="s">
        <v>373</v>
      </c>
      <c r="B63" s="52">
        <v>3.577</v>
      </c>
      <c r="C63" s="51" t="s">
        <v>374</v>
      </c>
      <c r="D63" s="53">
        <v>61.154015381823136</v>
      </c>
      <c r="E63" s="55">
        <v>11.349736410322324</v>
      </c>
      <c r="F63" s="53">
        <v>33823.400199548603</v>
      </c>
      <c r="G63" s="53"/>
      <c r="H63" s="63">
        <f t="shared" si="0"/>
        <v>1.7096453838921759</v>
      </c>
      <c r="I63" s="53"/>
      <c r="J63" s="53">
        <v>1293.8843550179402</v>
      </c>
      <c r="K63" s="53">
        <v>-29.227870660079372</v>
      </c>
      <c r="L63" s="55">
        <v>1.0736989468663678</v>
      </c>
      <c r="M63" s="62"/>
      <c r="N63" s="56">
        <f t="shared" si="1"/>
        <v>36.172333100864975</v>
      </c>
    </row>
    <row r="64" spans="1:14" x14ac:dyDescent="0.15">
      <c r="A64" s="51" t="s">
        <v>375</v>
      </c>
      <c r="B64" s="52">
        <v>3.3260000000000001</v>
      </c>
      <c r="C64" s="51" t="s">
        <v>254</v>
      </c>
      <c r="D64" s="53">
        <v>55.92613324751418</v>
      </c>
      <c r="E64" s="55">
        <v>8.3455046105121617</v>
      </c>
      <c r="F64" s="53">
        <v>23766.478553401128</v>
      </c>
      <c r="G64" s="53"/>
      <c r="H64" s="63">
        <f t="shared" si="0"/>
        <v>1.6814832605987424</v>
      </c>
      <c r="I64" s="53"/>
      <c r="J64" s="53">
        <v>1280.8547537811205</v>
      </c>
      <c r="K64" s="53">
        <v>-29.449285713890529</v>
      </c>
      <c r="L64" s="55">
        <v>1.0734566849173202</v>
      </c>
      <c r="M64" s="62"/>
      <c r="N64" s="56">
        <f t="shared" si="1"/>
        <v>38.510365417351785</v>
      </c>
    </row>
    <row r="65" spans="1:14" x14ac:dyDescent="0.15">
      <c r="A65" s="51" t="s">
        <v>376</v>
      </c>
      <c r="B65" s="52">
        <v>3.5150000000000001</v>
      </c>
      <c r="C65" s="51" t="s">
        <v>256</v>
      </c>
      <c r="D65" s="53">
        <v>64.076390513516799</v>
      </c>
      <c r="E65" s="55">
        <v>9.1596047030151642</v>
      </c>
      <c r="F65" s="53">
        <v>26426.042565475647</v>
      </c>
      <c r="G65" s="53"/>
      <c r="H65" s="63">
        <f t="shared" si="0"/>
        <v>1.8229414086349018</v>
      </c>
      <c r="I65" s="53"/>
      <c r="J65" s="53">
        <v>1344.5918854774202</v>
      </c>
      <c r="K65" s="53">
        <v>-29.652599394313306</v>
      </c>
      <c r="L65" s="55">
        <v>1.0732342275955526</v>
      </c>
      <c r="M65" s="62"/>
      <c r="N65" s="56">
        <f t="shared" si="1"/>
        <v>38.252969714862587</v>
      </c>
    </row>
    <row r="66" spans="1:14" x14ac:dyDescent="0.15">
      <c r="A66" s="51" t="s">
        <v>377</v>
      </c>
      <c r="B66" s="52">
        <v>3.81</v>
      </c>
      <c r="C66" s="51" t="s">
        <v>258</v>
      </c>
      <c r="D66" s="53">
        <v>66.644625365840071</v>
      </c>
      <c r="E66" s="55">
        <v>10.805535337287044</v>
      </c>
      <c r="F66" s="53">
        <v>31951.395697024047</v>
      </c>
      <c r="G66" s="53"/>
      <c r="H66" s="63">
        <f t="shared" si="0"/>
        <v>1.7492027655076132</v>
      </c>
      <c r="I66" s="53"/>
      <c r="J66" s="53">
        <v>1455.6496410930295</v>
      </c>
      <c r="K66" s="53">
        <v>-29.41441095825008</v>
      </c>
      <c r="L66" s="55">
        <v>1.0734948433151352</v>
      </c>
      <c r="N66" s="56">
        <f t="shared" si="1"/>
        <v>38.206027325276366</v>
      </c>
    </row>
    <row r="67" spans="1:14" x14ac:dyDescent="0.15">
      <c r="A67" s="51" t="s">
        <v>378</v>
      </c>
      <c r="B67" s="52">
        <v>3.2690000000000001</v>
      </c>
      <c r="C67" s="51" t="s">
        <v>260</v>
      </c>
      <c r="D67" s="53">
        <v>59.523542192833816</v>
      </c>
      <c r="E67" s="55">
        <v>9.0929735403240031</v>
      </c>
      <c r="F67" s="53">
        <v>26206.577017598</v>
      </c>
      <c r="G67" s="53"/>
      <c r="H67" s="63">
        <f t="shared" si="0"/>
        <v>1.8208486446263019</v>
      </c>
      <c r="I67" s="53"/>
      <c r="J67" s="53">
        <v>1252.3959094931427</v>
      </c>
      <c r="K67" s="53">
        <v>-29.61846520804497</v>
      </c>
      <c r="L67" s="55">
        <v>1.0732715758637594</v>
      </c>
      <c r="M67" s="62"/>
      <c r="N67" s="56">
        <f t="shared" si="1"/>
        <v>38.311285086972859</v>
      </c>
    </row>
    <row r="68" spans="1:14" x14ac:dyDescent="0.15">
      <c r="A68" s="51" t="s">
        <v>379</v>
      </c>
      <c r="B68" s="52">
        <v>3.4609999999999999</v>
      </c>
      <c r="C68" s="51" t="s">
        <v>262</v>
      </c>
      <c r="D68" s="53">
        <v>63.195121881168298</v>
      </c>
      <c r="E68" s="55">
        <v>10.87193766678458</v>
      </c>
      <c r="F68" s="53">
        <v>32178.589445405898</v>
      </c>
      <c r="G68" s="53"/>
      <c r="H68" s="63">
        <f t="shared" ref="H68:H122" si="2">((D68/1000)/B68)*100</f>
        <v>1.8259208864827594</v>
      </c>
      <c r="I68" s="53"/>
      <c r="J68" s="53">
        <v>1293.0494345748389</v>
      </c>
      <c r="K68" s="53">
        <v>-29.173754274832316</v>
      </c>
      <c r="L68" s="55">
        <v>1.0737581582920888</v>
      </c>
      <c r="M68" s="62"/>
      <c r="N68" s="56">
        <f t="shared" ref="N68:N122" si="3">(J68/1000)/B68*100</f>
        <v>37.360573087975702</v>
      </c>
    </row>
    <row r="69" spans="1:14" x14ac:dyDescent="0.15">
      <c r="A69" s="51" t="s">
        <v>380</v>
      </c>
      <c r="B69" s="52">
        <v>3.2730000000000001</v>
      </c>
      <c r="C69" s="51" t="s">
        <v>264</v>
      </c>
      <c r="D69" s="53">
        <v>58.446901136949286</v>
      </c>
      <c r="E69" s="55">
        <v>9.0617665890109738</v>
      </c>
      <c r="F69" s="53">
        <v>26103.900103548611</v>
      </c>
      <c r="G69" s="53"/>
      <c r="H69" s="63">
        <f t="shared" si="2"/>
        <v>1.7857287240131161</v>
      </c>
      <c r="I69" s="53"/>
      <c r="J69" s="53">
        <v>1223.7215728766064</v>
      </c>
      <c r="K69" s="53">
        <v>-28.951262458346338</v>
      </c>
      <c r="L69" s="55">
        <v>1.0740015968976284</v>
      </c>
      <c r="M69" s="62"/>
      <c r="N69" s="56">
        <f t="shared" si="3"/>
        <v>37.388376806495764</v>
      </c>
    </row>
    <row r="70" spans="1:14" x14ac:dyDescent="0.15">
      <c r="A70" s="51" t="s">
        <v>381</v>
      </c>
      <c r="B70" s="52">
        <v>3.2080000000000002</v>
      </c>
      <c r="C70" s="51" t="s">
        <v>266</v>
      </c>
      <c r="D70" s="53">
        <v>57.762613710073495</v>
      </c>
      <c r="E70" s="55">
        <v>11.586525787975837</v>
      </c>
      <c r="F70" s="53">
        <v>34645.130228604976</v>
      </c>
      <c r="G70" s="53"/>
      <c r="H70" s="63">
        <f t="shared" si="2"/>
        <v>1.8005802278701213</v>
      </c>
      <c r="I70" s="53"/>
      <c r="J70" s="53">
        <v>1257.3461613486379</v>
      </c>
      <c r="K70" s="53">
        <v>-29.216878200866137</v>
      </c>
      <c r="L70" s="55">
        <v>1.0737109742678594</v>
      </c>
      <c r="M70" s="62"/>
      <c r="N70" s="56">
        <f t="shared" si="3"/>
        <v>39.19408233630417</v>
      </c>
    </row>
    <row r="71" spans="1:14" x14ac:dyDescent="0.15">
      <c r="A71" s="51" t="s">
        <v>382</v>
      </c>
      <c r="B71" s="52">
        <v>3.2229999999999999</v>
      </c>
      <c r="C71" s="51" t="s">
        <v>268</v>
      </c>
      <c r="D71" s="53">
        <v>55.393514080296995</v>
      </c>
      <c r="E71" s="55">
        <v>9.6464677421484275</v>
      </c>
      <c r="F71" s="53">
        <v>28039.464974436396</v>
      </c>
      <c r="G71" s="53"/>
      <c r="H71" s="63">
        <f t="shared" si="2"/>
        <v>1.7186942004435928</v>
      </c>
      <c r="I71" s="53"/>
      <c r="J71" s="53">
        <v>1208.7888704781799</v>
      </c>
      <c r="K71" s="53">
        <v>-29.616146212392135</v>
      </c>
      <c r="L71" s="55">
        <v>1.073274113215493</v>
      </c>
      <c r="M71" s="62"/>
      <c r="N71" s="56">
        <f t="shared" si="3"/>
        <v>37.505084408258767</v>
      </c>
    </row>
    <row r="72" spans="1:14" x14ac:dyDescent="0.15">
      <c r="A72" s="51" t="s">
        <v>383</v>
      </c>
      <c r="B72" s="52">
        <v>3.6469999999999998</v>
      </c>
      <c r="C72" s="51" t="s">
        <v>270</v>
      </c>
      <c r="D72" s="53">
        <v>57.486132802163453</v>
      </c>
      <c r="E72" s="55">
        <v>9.6297909989643564</v>
      </c>
      <c r="F72" s="53">
        <v>27983.912136694387</v>
      </c>
      <c r="G72" s="53"/>
      <c r="H72" s="63">
        <f t="shared" si="2"/>
        <v>1.5762580971254034</v>
      </c>
      <c r="I72" s="53"/>
      <c r="J72" s="53">
        <v>1393.7841942431523</v>
      </c>
      <c r="K72" s="53">
        <v>-29.356955504872765</v>
      </c>
      <c r="L72" s="55">
        <v>1.0735577084382726</v>
      </c>
      <c r="M72" s="62"/>
      <c r="N72" s="56">
        <f t="shared" si="3"/>
        <v>38.217279798276735</v>
      </c>
    </row>
    <row r="73" spans="1:14" x14ac:dyDescent="0.15">
      <c r="A73" s="51" t="s">
        <v>384</v>
      </c>
      <c r="B73" s="52">
        <v>3.47</v>
      </c>
      <c r="C73" s="51" t="s">
        <v>272</v>
      </c>
      <c r="D73" s="53">
        <v>66.94824570878059</v>
      </c>
      <c r="E73" s="55">
        <v>8.3399997511715274</v>
      </c>
      <c r="F73" s="53">
        <v>23748.655667316259</v>
      </c>
      <c r="G73" s="53"/>
      <c r="H73" s="63">
        <f t="shared" si="2"/>
        <v>1.9293442567371928</v>
      </c>
      <c r="I73" s="53"/>
      <c r="J73" s="53">
        <v>1326.2476306343415</v>
      </c>
      <c r="K73" s="53">
        <v>-29.618968167169974</v>
      </c>
      <c r="L73" s="55">
        <v>1.0732710255461055</v>
      </c>
      <c r="M73" s="62"/>
      <c r="N73" s="56">
        <f t="shared" si="3"/>
        <v>38.220392813669775</v>
      </c>
    </row>
    <row r="74" spans="1:14" x14ac:dyDescent="0.15">
      <c r="A74" s="51" t="s">
        <v>385</v>
      </c>
      <c r="B74" s="52">
        <v>3.1360000000000001</v>
      </c>
      <c r="C74" s="51" t="s">
        <v>274</v>
      </c>
      <c r="D74" s="53">
        <v>55.508910836007409</v>
      </c>
      <c r="E74" s="55">
        <v>9.1804647826460677</v>
      </c>
      <c r="F74" s="53">
        <v>26494.8163781291</v>
      </c>
      <c r="G74" s="53"/>
      <c r="H74" s="63">
        <f t="shared" si="2"/>
        <v>1.770054554719624</v>
      </c>
      <c r="I74" s="53"/>
      <c r="J74" s="53">
        <v>1221.1946676920038</v>
      </c>
      <c r="K74" s="53">
        <v>-28.780480874356279</v>
      </c>
      <c r="L74" s="55">
        <v>1.0741884561290271</v>
      </c>
      <c r="M74" s="62"/>
      <c r="N74" s="56">
        <f t="shared" si="3"/>
        <v>38.94115649528073</v>
      </c>
    </row>
    <row r="75" spans="1:14" x14ac:dyDescent="0.15">
      <c r="A75" s="51" t="s">
        <v>386</v>
      </c>
      <c r="B75" s="52">
        <v>3.355</v>
      </c>
      <c r="C75" s="51" t="s">
        <v>276</v>
      </c>
      <c r="D75" s="53">
        <v>57.268398761492513</v>
      </c>
      <c r="E75" s="55">
        <v>9.9493053126161293</v>
      </c>
      <c r="F75" s="53">
        <v>29051.843629981024</v>
      </c>
      <c r="G75" s="53"/>
      <c r="H75" s="63">
        <f t="shared" si="2"/>
        <v>1.7069567440087186</v>
      </c>
      <c r="I75" s="53"/>
      <c r="J75" s="53">
        <v>1296.9364092485573</v>
      </c>
      <c r="K75" s="53">
        <v>-29.443159127890635</v>
      </c>
      <c r="L75" s="55">
        <v>1.0734633883558351</v>
      </c>
      <c r="M75" s="62"/>
      <c r="N75" s="56">
        <f t="shared" si="3"/>
        <v>38.656822928421981</v>
      </c>
    </row>
    <row r="76" spans="1:14" x14ac:dyDescent="0.15">
      <c r="A76" s="51" t="s">
        <v>387</v>
      </c>
      <c r="B76" s="52">
        <v>3.609</v>
      </c>
      <c r="C76" s="51" t="s">
        <v>278</v>
      </c>
      <c r="D76" s="53">
        <v>59.887401668818605</v>
      </c>
      <c r="E76" s="55">
        <v>11.072218948771598</v>
      </c>
      <c r="F76" s="53">
        <v>32865.901358488743</v>
      </c>
      <c r="G76" s="53"/>
      <c r="H76" s="63">
        <f t="shared" si="2"/>
        <v>1.6593904590972182</v>
      </c>
      <c r="I76" s="53"/>
      <c r="J76" s="53">
        <v>1311.0708564435772</v>
      </c>
      <c r="K76" s="53">
        <v>-29.448237647277683</v>
      </c>
      <c r="L76" s="55">
        <v>1.0734578316653614</v>
      </c>
      <c r="M76" s="62"/>
      <c r="N76" s="56">
        <f t="shared" si="3"/>
        <v>36.32781536280347</v>
      </c>
    </row>
    <row r="77" spans="1:14" x14ac:dyDescent="0.15">
      <c r="A77" s="51" t="s">
        <v>388</v>
      </c>
      <c r="B77" s="52">
        <v>3.1059999999999999</v>
      </c>
      <c r="C77" s="51" t="s">
        <v>280</v>
      </c>
      <c r="D77" s="53">
        <v>62.031051904042762</v>
      </c>
      <c r="E77" s="55">
        <v>9.25989541764765</v>
      </c>
      <c r="F77" s="53">
        <v>26756.98150031417</v>
      </c>
      <c r="G77" s="53"/>
      <c r="H77" s="63">
        <f t="shared" si="2"/>
        <v>1.997136249325266</v>
      </c>
      <c r="I77" s="53"/>
      <c r="J77" s="53">
        <v>1194.1501784201816</v>
      </c>
      <c r="K77" s="53">
        <v>-29.58571473559288</v>
      </c>
      <c r="L77" s="55">
        <v>1.0733074101008664</v>
      </c>
      <c r="M77" s="62"/>
      <c r="N77" s="56">
        <f t="shared" si="3"/>
        <v>38.446560799104368</v>
      </c>
    </row>
    <row r="78" spans="1:14" x14ac:dyDescent="0.15">
      <c r="A78" s="51" t="s">
        <v>389</v>
      </c>
      <c r="B78" s="52">
        <v>3.105</v>
      </c>
      <c r="C78" s="51" t="s">
        <v>282</v>
      </c>
      <c r="D78" s="53">
        <v>53.721880193179921</v>
      </c>
      <c r="E78" s="55">
        <v>9.8796681141454012</v>
      </c>
      <c r="F78" s="53">
        <v>28818.445769433642</v>
      </c>
      <c r="G78" s="53"/>
      <c r="H78" s="63">
        <f t="shared" si="2"/>
        <v>1.7301732751426706</v>
      </c>
      <c r="I78" s="53"/>
      <c r="J78" s="53">
        <v>1229.3208909873169</v>
      </c>
      <c r="K78" s="53">
        <v>-29.521579963976237</v>
      </c>
      <c r="L78" s="55">
        <v>1.0733775836885462</v>
      </c>
      <c r="M78" s="62"/>
      <c r="N78" s="56">
        <f t="shared" si="3"/>
        <v>39.59165510426142</v>
      </c>
    </row>
    <row r="79" spans="1:14" x14ac:dyDescent="0.15">
      <c r="A79" s="51" t="s">
        <v>390</v>
      </c>
      <c r="B79" s="52">
        <v>3.11</v>
      </c>
      <c r="C79" s="51" t="s">
        <v>284</v>
      </c>
      <c r="D79" s="53">
        <v>56.47699353448138</v>
      </c>
      <c r="E79" s="55">
        <v>9.1585174768974689</v>
      </c>
      <c r="F79" s="53">
        <v>26422.458944436359</v>
      </c>
      <c r="G79" s="53"/>
      <c r="H79" s="63">
        <f t="shared" si="2"/>
        <v>1.8159804995010089</v>
      </c>
      <c r="I79" s="53"/>
      <c r="J79" s="53">
        <v>1091.3458872889946</v>
      </c>
      <c r="K79" s="53">
        <v>-29.497484116460186</v>
      </c>
      <c r="L79" s="55">
        <v>1.0734039483324938</v>
      </c>
      <c r="M79" s="62"/>
      <c r="N79" s="56">
        <f t="shared" si="3"/>
        <v>35.091507629871202</v>
      </c>
    </row>
    <row r="80" spans="1:14" x14ac:dyDescent="0.15">
      <c r="A80" s="51" t="s">
        <v>391</v>
      </c>
      <c r="B80" s="52">
        <v>3.6909999999999998</v>
      </c>
      <c r="C80" s="51" t="s">
        <v>286</v>
      </c>
      <c r="D80" s="53">
        <v>68.082509607330266</v>
      </c>
      <c r="E80" s="55">
        <v>10.194190580105397</v>
      </c>
      <c r="F80" s="53">
        <v>29875.482035276546</v>
      </c>
      <c r="G80" s="53"/>
      <c r="H80" s="63">
        <f t="shared" si="2"/>
        <v>1.8445545816128495</v>
      </c>
      <c r="I80" s="53"/>
      <c r="J80" s="53">
        <v>1364.5485017898286</v>
      </c>
      <c r="K80" s="53">
        <v>-29.405157045089364</v>
      </c>
      <c r="L80" s="55">
        <v>1.0735049685280835</v>
      </c>
      <c r="M80" s="62"/>
      <c r="N80" s="56">
        <f t="shared" si="3"/>
        <v>36.969615328903515</v>
      </c>
    </row>
    <row r="81" spans="1:14" x14ac:dyDescent="0.15">
      <c r="A81" s="51" t="s">
        <v>392</v>
      </c>
      <c r="B81" s="52">
        <v>3.222</v>
      </c>
      <c r="C81" s="51" t="s">
        <v>288</v>
      </c>
      <c r="D81" s="53">
        <v>60.182731726231481</v>
      </c>
      <c r="E81" s="55">
        <v>11.027548521433456</v>
      </c>
      <c r="F81" s="53">
        <v>32712.336259486514</v>
      </c>
      <c r="G81" s="53"/>
      <c r="H81" s="63">
        <f t="shared" si="2"/>
        <v>1.8678687686601949</v>
      </c>
      <c r="I81" s="53"/>
      <c r="J81" s="53">
        <v>1198.335436940084</v>
      </c>
      <c r="K81" s="53">
        <v>-29.165688291539297</v>
      </c>
      <c r="L81" s="55">
        <v>1.0737669836790762</v>
      </c>
      <c r="M81" s="62"/>
      <c r="N81" s="56">
        <f t="shared" si="3"/>
        <v>37.192285441964124</v>
      </c>
    </row>
    <row r="82" spans="1:14" x14ac:dyDescent="0.15">
      <c r="A82" s="51" t="s">
        <v>393</v>
      </c>
      <c r="B82" s="52">
        <v>3.86</v>
      </c>
      <c r="C82" s="51" t="s">
        <v>290</v>
      </c>
      <c r="D82" s="53">
        <v>65.458652768147175</v>
      </c>
      <c r="E82" s="55">
        <v>10.948963762870248</v>
      </c>
      <c r="F82" s="53">
        <v>32442.556589863059</v>
      </c>
      <c r="G82" s="53"/>
      <c r="H82" s="63">
        <f t="shared" si="2"/>
        <v>1.695820019900186</v>
      </c>
      <c r="I82" s="53"/>
      <c r="J82" s="53">
        <v>1494.4302737937505</v>
      </c>
      <c r="K82" s="53">
        <v>-28.824755776594188</v>
      </c>
      <c r="L82" s="55">
        <v>1.0741400131855121</v>
      </c>
      <c r="M82" s="62"/>
      <c r="N82" s="56">
        <f t="shared" si="3"/>
        <v>38.715810201910635</v>
      </c>
    </row>
    <row r="83" spans="1:14" x14ac:dyDescent="0.15">
      <c r="A83" s="51" t="s">
        <v>394</v>
      </c>
      <c r="B83" s="52">
        <v>3.4529999999999998</v>
      </c>
      <c r="C83" s="51" t="s">
        <v>292</v>
      </c>
      <c r="D83" s="53">
        <v>64.859712781324717</v>
      </c>
      <c r="E83" s="55">
        <v>9.2540006591345421</v>
      </c>
      <c r="F83" s="53">
        <v>26737.509763769249</v>
      </c>
      <c r="G83" s="53"/>
      <c r="H83" s="63">
        <f t="shared" si="2"/>
        <v>1.8783583197603451</v>
      </c>
      <c r="I83" s="53"/>
      <c r="J83" s="53">
        <v>1365.4623812025479</v>
      </c>
      <c r="K83" s="53">
        <v>-29.491967502560801</v>
      </c>
      <c r="L83" s="55">
        <v>1.0734099843730815</v>
      </c>
      <c r="M83" s="62"/>
      <c r="N83" s="56">
        <f t="shared" si="3"/>
        <v>39.544233455040484</v>
      </c>
    </row>
    <row r="84" spans="1:14" x14ac:dyDescent="0.15">
      <c r="A84" s="51" t="s">
        <v>395</v>
      </c>
      <c r="B84" s="52">
        <v>3.4710000000000001</v>
      </c>
      <c r="C84" s="51" t="s">
        <v>294</v>
      </c>
      <c r="D84" s="53">
        <v>61.173630210428627</v>
      </c>
      <c r="E84" s="55">
        <v>9.9505008991559656</v>
      </c>
      <c r="F84" s="53">
        <v>29055.853941205489</v>
      </c>
      <c r="G84" s="53"/>
      <c r="H84" s="63">
        <f t="shared" si="2"/>
        <v>1.7624209222249676</v>
      </c>
      <c r="I84" s="53"/>
      <c r="J84" s="53">
        <v>1360.0989118417256</v>
      </c>
      <c r="K84" s="53">
        <v>-29.022922611673657</v>
      </c>
      <c r="L84" s="55">
        <v>1.0739231903343123</v>
      </c>
      <c r="M84" s="62"/>
      <c r="N84" s="56">
        <f t="shared" si="3"/>
        <v>39.184641654904219</v>
      </c>
    </row>
    <row r="85" spans="1:14" x14ac:dyDescent="0.15">
      <c r="A85" s="51" t="s">
        <v>396</v>
      </c>
      <c r="B85" s="52">
        <v>3.2440000000000002</v>
      </c>
      <c r="C85" s="51" t="s">
        <v>296</v>
      </c>
      <c r="D85" s="53">
        <v>58.753439449434445</v>
      </c>
      <c r="E85" s="55">
        <v>7.2552643928194094</v>
      </c>
      <c r="F85" s="53">
        <v>20277.931459918585</v>
      </c>
      <c r="G85" s="53"/>
      <c r="H85" s="63">
        <f t="shared" si="2"/>
        <v>1.811141783274798</v>
      </c>
      <c r="I85" s="53"/>
      <c r="J85" s="53">
        <v>1256.8121551688828</v>
      </c>
      <c r="K85" s="53">
        <v>-28.971544484205147</v>
      </c>
      <c r="L85" s="55">
        <v>1.073979405443003</v>
      </c>
      <c r="M85" s="62"/>
      <c r="N85" s="56">
        <f t="shared" si="3"/>
        <v>38.74266816180279</v>
      </c>
    </row>
    <row r="86" spans="1:14" x14ac:dyDescent="0.15">
      <c r="A86" s="51" t="s">
        <v>397</v>
      </c>
      <c r="B86" s="52">
        <v>3.11</v>
      </c>
      <c r="C86" s="51" t="s">
        <v>298</v>
      </c>
      <c r="D86" s="53">
        <v>57.151810897051114</v>
      </c>
      <c r="E86" s="55">
        <v>8.986927963803458</v>
      </c>
      <c r="F86" s="53">
        <v>25857.953435343545</v>
      </c>
      <c r="G86" s="53"/>
      <c r="H86" s="63">
        <f t="shared" si="2"/>
        <v>1.8376788069791354</v>
      </c>
      <c r="I86" s="53"/>
      <c r="J86" s="53">
        <v>1199.1087185126014</v>
      </c>
      <c r="K86" s="53">
        <v>-28.358729701783357</v>
      </c>
      <c r="L86" s="55">
        <v>1.0746499085973684</v>
      </c>
      <c r="M86" s="62"/>
      <c r="N86" s="56">
        <f t="shared" si="3"/>
        <v>38.556550434488798</v>
      </c>
    </row>
    <row r="87" spans="1:14" x14ac:dyDescent="0.15">
      <c r="A87" s="51" t="s">
        <v>398</v>
      </c>
      <c r="B87" s="52">
        <v>3.625</v>
      </c>
      <c r="C87" s="51" t="s">
        <v>300</v>
      </c>
      <c r="D87" s="53">
        <v>63.976973253055235</v>
      </c>
      <c r="E87" s="55">
        <v>11.653104067345973</v>
      </c>
      <c r="F87" s="53">
        <v>34876.970162966216</v>
      </c>
      <c r="G87" s="53"/>
      <c r="H87" s="63">
        <f t="shared" si="2"/>
        <v>1.7648820207739377</v>
      </c>
      <c r="I87" s="53"/>
      <c r="J87" s="53">
        <v>1378.140775412021</v>
      </c>
      <c r="K87" s="53">
        <v>-28.906313887962604</v>
      </c>
      <c r="L87" s="55">
        <v>1.0740507770656975</v>
      </c>
      <c r="M87" s="62"/>
      <c r="N87" s="56">
        <f t="shared" si="3"/>
        <v>38.017676563090234</v>
      </c>
    </row>
    <row r="88" spans="1:14" x14ac:dyDescent="0.15">
      <c r="A88" s="51" t="s">
        <v>399</v>
      </c>
      <c r="B88" s="52">
        <v>3.1970000000000001</v>
      </c>
      <c r="C88" s="51" t="s">
        <v>303</v>
      </c>
      <c r="D88" s="53">
        <v>54.414955254167722</v>
      </c>
      <c r="E88" s="55">
        <v>9.9430916934931215</v>
      </c>
      <c r="F88" s="53">
        <v>29031.003234432417</v>
      </c>
      <c r="G88" s="53"/>
      <c r="H88" s="63">
        <f t="shared" si="2"/>
        <v>1.7020630357887934</v>
      </c>
      <c r="I88" s="53"/>
      <c r="J88" s="53">
        <v>1196.9197186733259</v>
      </c>
      <c r="K88" s="53">
        <v>-28.682055220688838</v>
      </c>
      <c r="L88" s="55">
        <v>1.0742961474081654</v>
      </c>
      <c r="M88" s="62"/>
      <c r="N88" s="56">
        <f t="shared" si="3"/>
        <v>37.438840121155017</v>
      </c>
    </row>
    <row r="89" spans="1:14" x14ac:dyDescent="0.15">
      <c r="A89" s="51" t="s">
        <v>400</v>
      </c>
      <c r="B89" s="52">
        <v>3.214</v>
      </c>
      <c r="C89" s="51" t="s">
        <v>306</v>
      </c>
      <c r="D89" s="53">
        <v>59.763848583835333</v>
      </c>
      <c r="E89" s="55">
        <v>7.8455584718081912</v>
      </c>
      <c r="F89" s="53">
        <v>22156.505504732988</v>
      </c>
      <c r="G89" s="53"/>
      <c r="H89" s="63">
        <f t="shared" si="2"/>
        <v>1.8594850212767684</v>
      </c>
      <c r="I89" s="53"/>
      <c r="J89" s="53">
        <v>1195.2430851270788</v>
      </c>
      <c r="K89" s="53">
        <v>-28.781311333210809</v>
      </c>
      <c r="L89" s="55">
        <v>1.0741875474911755</v>
      </c>
      <c r="M89" s="62"/>
      <c r="N89" s="56">
        <f t="shared" si="3"/>
        <v>37.188646083605434</v>
      </c>
    </row>
    <row r="90" spans="1:14" x14ac:dyDescent="0.15">
      <c r="A90" s="51" t="s">
        <v>401</v>
      </c>
      <c r="B90" s="52">
        <v>3.2109999999999999</v>
      </c>
      <c r="C90" s="51" t="s">
        <v>308</v>
      </c>
      <c r="D90" s="53">
        <v>55.54303084494267</v>
      </c>
      <c r="E90" s="55">
        <v>9.6704451401036078</v>
      </c>
      <c r="F90" s="53">
        <v>28119.373381919431</v>
      </c>
      <c r="G90" s="53"/>
      <c r="H90" s="63">
        <f t="shared" si="2"/>
        <v>1.7297736170956919</v>
      </c>
      <c r="I90" s="53"/>
      <c r="J90" s="53">
        <v>1232.6814339925677</v>
      </c>
      <c r="K90" s="53">
        <v>-29.037122100008123</v>
      </c>
      <c r="L90" s="55">
        <v>1.0739076540273589</v>
      </c>
      <c r="M90" s="62"/>
      <c r="N90" s="56">
        <f t="shared" si="3"/>
        <v>38.389331485287073</v>
      </c>
    </row>
    <row r="91" spans="1:14" x14ac:dyDescent="0.15">
      <c r="A91" s="51" t="s">
        <v>402</v>
      </c>
      <c r="B91" s="52">
        <v>3.8730000000000002</v>
      </c>
      <c r="C91" s="51" t="s">
        <v>310</v>
      </c>
      <c r="D91" s="53">
        <v>73.756067587823807</v>
      </c>
      <c r="E91" s="55">
        <v>9.7696054300603503</v>
      </c>
      <c r="F91" s="53">
        <v>28450.291458332529</v>
      </c>
      <c r="G91" s="53"/>
      <c r="H91" s="63">
        <f t="shared" si="2"/>
        <v>1.9043652875761374</v>
      </c>
      <c r="I91" s="53"/>
      <c r="J91" s="53">
        <v>1466.3299862770509</v>
      </c>
      <c r="K91" s="53">
        <v>-29.038400748640417</v>
      </c>
      <c r="L91" s="55">
        <v>1.0739062549994103</v>
      </c>
      <c r="M91" s="62"/>
      <c r="N91" s="56">
        <f t="shared" si="3"/>
        <v>37.860314646967488</v>
      </c>
    </row>
    <row r="92" spans="1:14" x14ac:dyDescent="0.15">
      <c r="A92" s="51" t="s">
        <v>403</v>
      </c>
      <c r="B92" s="52">
        <v>3.3090000000000002</v>
      </c>
      <c r="C92" s="51" t="s">
        <v>312</v>
      </c>
      <c r="D92" s="53">
        <v>61.522577465556722</v>
      </c>
      <c r="E92" s="55">
        <v>9.9074124492619493</v>
      </c>
      <c r="F92" s="53">
        <v>28911.39117105036</v>
      </c>
      <c r="G92" s="53"/>
      <c r="H92" s="63">
        <f t="shared" si="2"/>
        <v>1.8592498478560506</v>
      </c>
      <c r="I92" s="53"/>
      <c r="J92" s="53">
        <v>1240.9783785428604</v>
      </c>
      <c r="K92" s="53">
        <v>-29.24568616186578</v>
      </c>
      <c r="L92" s="55">
        <v>1.0736794540252415</v>
      </c>
      <c r="M92" s="62"/>
      <c r="N92" s="56">
        <f t="shared" si="3"/>
        <v>37.503124162673323</v>
      </c>
    </row>
    <row r="93" spans="1:14" x14ac:dyDescent="0.15">
      <c r="A93" s="51" t="s">
        <v>404</v>
      </c>
      <c r="B93" s="52">
        <v>3.3359999999999999</v>
      </c>
      <c r="C93" s="51" t="s">
        <v>314</v>
      </c>
      <c r="D93" s="53">
        <v>58.229818229172366</v>
      </c>
      <c r="E93" s="55">
        <v>9.0899955373339107</v>
      </c>
      <c r="F93" s="53">
        <v>26196.775768481384</v>
      </c>
      <c r="G93" s="53"/>
      <c r="H93" s="63">
        <f t="shared" si="2"/>
        <v>1.745498148356486</v>
      </c>
      <c r="I93" s="53"/>
      <c r="J93" s="53">
        <v>1244.5490771624879</v>
      </c>
      <c r="K93" s="53">
        <v>-28.905478226630983</v>
      </c>
      <c r="L93" s="55">
        <v>1.0740516913983129</v>
      </c>
      <c r="M93" s="62"/>
      <c r="N93" s="56">
        <f t="shared" si="3"/>
        <v>37.306627013264027</v>
      </c>
    </row>
    <row r="94" spans="1:14" x14ac:dyDescent="0.15">
      <c r="A94" s="51" t="s">
        <v>405</v>
      </c>
      <c r="B94" s="52">
        <v>3.1440000000000001</v>
      </c>
      <c r="C94" s="51" t="s">
        <v>316</v>
      </c>
      <c r="D94" s="53">
        <v>56.688397150545534</v>
      </c>
      <c r="E94" s="55">
        <v>10.805021815576964</v>
      </c>
      <c r="F94" s="53">
        <v>31949.640014720146</v>
      </c>
      <c r="G94" s="53"/>
      <c r="H94" s="63">
        <f t="shared" si="2"/>
        <v>1.8030660671293108</v>
      </c>
      <c r="I94" s="53"/>
      <c r="J94" s="53">
        <v>1189.6661678133119</v>
      </c>
      <c r="K94" s="53">
        <v>-28.592754833659306</v>
      </c>
      <c r="L94" s="55">
        <v>1.0743938541805464</v>
      </c>
      <c r="M94" s="62"/>
      <c r="N94" s="56">
        <f t="shared" si="3"/>
        <v>37.839254701441213</v>
      </c>
    </row>
    <row r="95" spans="1:14" x14ac:dyDescent="0.15">
      <c r="A95" s="51" t="s">
        <v>406</v>
      </c>
      <c r="B95" s="52">
        <v>3.4249999999999998</v>
      </c>
      <c r="C95" s="51" t="s">
        <v>318</v>
      </c>
      <c r="D95" s="53">
        <v>61.874368247883005</v>
      </c>
      <c r="E95" s="55">
        <v>7.3891217474907984</v>
      </c>
      <c r="F95" s="53">
        <v>20701.824608954608</v>
      </c>
      <c r="G95" s="53"/>
      <c r="H95" s="63">
        <f t="shared" si="2"/>
        <v>1.806550897748409</v>
      </c>
      <c r="I95" s="53"/>
      <c r="J95" s="53">
        <v>1282.8078169905871</v>
      </c>
      <c r="K95" s="53">
        <v>-29.134858257094681</v>
      </c>
      <c r="L95" s="55">
        <v>1.0738007163137551</v>
      </c>
      <c r="M95" s="62"/>
      <c r="N95" s="56">
        <f t="shared" si="3"/>
        <v>37.454242831841952</v>
      </c>
    </row>
    <row r="96" spans="1:14" x14ac:dyDescent="0.15">
      <c r="A96" s="51" t="s">
        <v>407</v>
      </c>
      <c r="B96" s="52">
        <v>3.4119999999999999</v>
      </c>
      <c r="C96" s="51" t="s">
        <v>320</v>
      </c>
      <c r="D96" s="53">
        <v>55.068670772407714</v>
      </c>
      <c r="E96" s="55">
        <v>8.4528741166216257</v>
      </c>
      <c r="F96" s="53">
        <v>24114.533571955591</v>
      </c>
      <c r="G96" s="53"/>
      <c r="H96" s="63">
        <f t="shared" si="2"/>
        <v>1.6139704212311756</v>
      </c>
      <c r="I96" s="53"/>
      <c r="J96" s="53">
        <v>1331.5615774914199</v>
      </c>
      <c r="K96" s="53">
        <v>-27.601481139223061</v>
      </c>
      <c r="L96" s="55">
        <v>1.0754784294990531</v>
      </c>
      <c r="M96" s="62"/>
      <c r="N96" s="56">
        <f t="shared" si="3"/>
        <v>39.025837558365183</v>
      </c>
    </row>
    <row r="97" spans="1:14" x14ac:dyDescent="0.15">
      <c r="A97" s="51" t="s">
        <v>408</v>
      </c>
      <c r="B97" s="52">
        <v>3.2360000000000002</v>
      </c>
      <c r="C97" s="51" t="s">
        <v>322</v>
      </c>
      <c r="D97" s="53">
        <v>61.348762298905434</v>
      </c>
      <c r="E97" s="55">
        <v>8.0399597989947811</v>
      </c>
      <c r="F97" s="53">
        <v>22780.454703303967</v>
      </c>
      <c r="G97" s="53"/>
      <c r="H97" s="63">
        <f t="shared" si="2"/>
        <v>1.8958208374198218</v>
      </c>
      <c r="I97" s="53"/>
      <c r="J97" s="53">
        <v>1250.3264857820245</v>
      </c>
      <c r="K97" s="53">
        <v>-29.093474194168035</v>
      </c>
      <c r="L97" s="55">
        <v>1.0738459965862683</v>
      </c>
      <c r="M97" s="62"/>
      <c r="N97" s="56">
        <f t="shared" si="3"/>
        <v>38.638024900556992</v>
      </c>
    </row>
    <row r="98" spans="1:14" x14ac:dyDescent="0.15">
      <c r="A98" s="51" t="s">
        <v>409</v>
      </c>
      <c r="B98" s="52">
        <v>3.585</v>
      </c>
      <c r="C98" s="51" t="s">
        <v>324</v>
      </c>
      <c r="D98" s="53">
        <v>62.559684486158972</v>
      </c>
      <c r="E98" s="55">
        <v>11.652612295440743</v>
      </c>
      <c r="F98" s="53">
        <v>34875.256426114</v>
      </c>
      <c r="G98" s="53"/>
      <c r="H98" s="63">
        <f t="shared" si="2"/>
        <v>1.7450400135609199</v>
      </c>
      <c r="I98" s="53"/>
      <c r="J98" s="53">
        <v>1373.148414595837</v>
      </c>
      <c r="K98" s="53">
        <v>-28.997037132757431</v>
      </c>
      <c r="L98" s="55">
        <v>1.0739515128032844</v>
      </c>
      <c r="M98" s="62"/>
      <c r="N98" s="56">
        <f t="shared" si="3"/>
        <v>38.30260570699685</v>
      </c>
    </row>
    <row r="99" spans="1:14" x14ac:dyDescent="0.15">
      <c r="A99" s="51" t="s">
        <v>410</v>
      </c>
      <c r="B99" s="52">
        <v>3.6309999999999998</v>
      </c>
      <c r="C99" s="51" t="s">
        <v>326</v>
      </c>
      <c r="D99" s="53">
        <v>66.125410164212525</v>
      </c>
      <c r="E99" s="55">
        <v>11.537144142433176</v>
      </c>
      <c r="F99" s="53">
        <v>34473.398091167161</v>
      </c>
      <c r="G99" s="53"/>
      <c r="H99" s="63">
        <f t="shared" si="2"/>
        <v>1.8211349535723638</v>
      </c>
      <c r="I99" s="53"/>
      <c r="J99" s="53">
        <v>1377.3831216851197</v>
      </c>
      <c r="K99" s="53">
        <v>-29.287272947297744</v>
      </c>
      <c r="L99" s="55">
        <v>1.0736339517910802</v>
      </c>
      <c r="M99" s="62"/>
      <c r="N99" s="56">
        <f t="shared" si="3"/>
        <v>37.933988479347832</v>
      </c>
    </row>
    <row r="100" spans="1:14" x14ac:dyDescent="0.15">
      <c r="A100" s="51" t="s">
        <v>411</v>
      </c>
      <c r="B100" s="52">
        <v>3.3180000000000001</v>
      </c>
      <c r="C100" s="51" t="s">
        <v>328</v>
      </c>
      <c r="D100" s="53">
        <v>57.270465159761187</v>
      </c>
      <c r="E100" s="55">
        <v>9.4210205049517537</v>
      </c>
      <c r="F100" s="53">
        <v>27290.195933487459</v>
      </c>
      <c r="G100" s="53"/>
      <c r="H100" s="63">
        <f t="shared" si="2"/>
        <v>1.7260538022833389</v>
      </c>
      <c r="I100" s="53"/>
      <c r="J100" s="53">
        <v>1256.2816841974436</v>
      </c>
      <c r="K100" s="53">
        <v>-29.177085003832012</v>
      </c>
      <c r="L100" s="55">
        <v>1.0737545139780595</v>
      </c>
      <c r="M100" s="62"/>
      <c r="N100" s="56">
        <f t="shared" si="3"/>
        <v>37.862618571351526</v>
      </c>
    </row>
    <row r="101" spans="1:14" x14ac:dyDescent="0.15">
      <c r="A101" s="51" t="s">
        <v>412</v>
      </c>
      <c r="B101" s="52">
        <v>3.621</v>
      </c>
      <c r="C101" s="51" t="s">
        <v>330</v>
      </c>
      <c r="D101" s="53">
        <v>67.749485262374449</v>
      </c>
      <c r="E101" s="55">
        <v>8.835970037913583</v>
      </c>
      <c r="F101" s="53">
        <v>25363.080091951026</v>
      </c>
      <c r="G101" s="53"/>
      <c r="H101" s="63">
        <f t="shared" si="2"/>
        <v>1.8710158868371844</v>
      </c>
      <c r="I101" s="53"/>
      <c r="J101" s="53">
        <v>1323.4705903698996</v>
      </c>
      <c r="K101" s="53">
        <v>-29.497835183004316</v>
      </c>
      <c r="L101" s="55">
        <v>1.0734035642106232</v>
      </c>
      <c r="M101" s="62"/>
      <c r="N101" s="56">
        <f t="shared" si="3"/>
        <v>36.549864412314264</v>
      </c>
    </row>
    <row r="102" spans="1:14" x14ac:dyDescent="0.15">
      <c r="A102" s="51" t="s">
        <v>413</v>
      </c>
      <c r="B102" s="52">
        <v>3.23</v>
      </c>
      <c r="C102" s="51" t="s">
        <v>332</v>
      </c>
      <c r="D102" s="53">
        <v>55.929402626547443</v>
      </c>
      <c r="E102" s="55">
        <v>8.1977313156302998</v>
      </c>
      <c r="F102" s="53">
        <v>23288.779696687874</v>
      </c>
      <c r="G102" s="53"/>
      <c r="H102" s="63">
        <f t="shared" si="2"/>
        <v>1.7315604528342861</v>
      </c>
      <c r="I102" s="53"/>
      <c r="J102" s="53">
        <v>1279.294538966139</v>
      </c>
      <c r="K102" s="53">
        <v>-29.529932646221926</v>
      </c>
      <c r="L102" s="55">
        <v>1.0733684445382299</v>
      </c>
      <c r="M102" s="62"/>
      <c r="N102" s="56">
        <f t="shared" si="3"/>
        <v>39.606642073255074</v>
      </c>
    </row>
    <row r="103" spans="1:14" x14ac:dyDescent="0.15">
      <c r="A103" s="51" t="s">
        <v>414</v>
      </c>
      <c r="B103" s="52">
        <v>3.456</v>
      </c>
      <c r="C103" s="51" t="s">
        <v>334</v>
      </c>
      <c r="D103" s="53">
        <v>64.394332501235112</v>
      </c>
      <c r="E103" s="55">
        <v>9.6335165059245824</v>
      </c>
      <c r="F103" s="53">
        <v>27996.320603966615</v>
      </c>
      <c r="G103" s="53"/>
      <c r="H103" s="63">
        <f t="shared" si="2"/>
        <v>1.8632619357996272</v>
      </c>
      <c r="I103" s="53"/>
      <c r="J103" s="53">
        <v>1337.6038539090168</v>
      </c>
      <c r="K103" s="53">
        <v>-29.608865114774421</v>
      </c>
      <c r="L103" s="55">
        <v>1.0732820798986891</v>
      </c>
      <c r="M103" s="62"/>
      <c r="N103" s="56">
        <f t="shared" si="3"/>
        <v>38.703815217274794</v>
      </c>
    </row>
    <row r="104" spans="1:14" x14ac:dyDescent="0.15">
      <c r="A104" s="51" t="s">
        <v>415</v>
      </c>
      <c r="B104" s="52">
        <v>3.2810000000000001</v>
      </c>
      <c r="C104" s="51" t="s">
        <v>336</v>
      </c>
      <c r="D104" s="53">
        <v>51.772284500548736</v>
      </c>
      <c r="E104" s="55">
        <v>9.7912388423829277</v>
      </c>
      <c r="F104" s="53">
        <v>28522.583232349421</v>
      </c>
      <c r="G104" s="53"/>
      <c r="H104" s="63">
        <f t="shared" si="2"/>
        <v>1.5779422279959991</v>
      </c>
      <c r="I104" s="53"/>
      <c r="J104" s="53">
        <v>1253.7847982665551</v>
      </c>
      <c r="K104" s="53">
        <v>-29.394673361236844</v>
      </c>
      <c r="L104" s="55">
        <v>1.0735164392979595</v>
      </c>
      <c r="M104" s="62"/>
      <c r="N104" s="56">
        <f t="shared" si="3"/>
        <v>38.213495832567965</v>
      </c>
    </row>
    <row r="105" spans="1:14" x14ac:dyDescent="0.15">
      <c r="A105" s="51" t="s">
        <v>416</v>
      </c>
      <c r="B105" s="52">
        <v>3.238</v>
      </c>
      <c r="C105" s="51" t="s">
        <v>338</v>
      </c>
      <c r="D105" s="53">
        <v>55.49485573002206</v>
      </c>
      <c r="E105" s="55">
        <v>8.1385509910739167</v>
      </c>
      <c r="F105" s="53">
        <v>23097.90161280521</v>
      </c>
      <c r="G105" s="53"/>
      <c r="H105" s="63">
        <f t="shared" si="2"/>
        <v>1.7138621287838809</v>
      </c>
      <c r="I105" s="53"/>
      <c r="J105" s="53">
        <v>1290.7266599112095</v>
      </c>
      <c r="K105" s="53">
        <v>-27.236633023770622</v>
      </c>
      <c r="L105" s="55">
        <v>1.0758776122153604</v>
      </c>
      <c r="M105" s="62"/>
      <c r="N105" s="56">
        <f t="shared" si="3"/>
        <v>39.861848669277627</v>
      </c>
    </row>
    <row r="106" spans="1:14" x14ac:dyDescent="0.15">
      <c r="A106" s="51" t="s">
        <v>417</v>
      </c>
      <c r="B106" s="52">
        <v>3.673</v>
      </c>
      <c r="C106" s="51" t="s">
        <v>340</v>
      </c>
      <c r="D106" s="53">
        <v>59.639808040370745</v>
      </c>
      <c r="E106" s="55">
        <v>7.9089530553324723</v>
      </c>
      <c r="F106" s="53">
        <v>22359.686882469818</v>
      </c>
      <c r="G106" s="53"/>
      <c r="H106" s="63">
        <f t="shared" si="2"/>
        <v>1.6237355850904096</v>
      </c>
      <c r="I106" s="53"/>
      <c r="J106" s="53">
        <v>1439.727389717521</v>
      </c>
      <c r="K106" s="53">
        <v>-29.279304151426707</v>
      </c>
      <c r="L106" s="55">
        <v>1.0736426708624573</v>
      </c>
      <c r="M106" s="62"/>
      <c r="N106" s="56">
        <f t="shared" si="3"/>
        <v>39.197587522938221</v>
      </c>
    </row>
    <row r="107" spans="1:14" x14ac:dyDescent="0.15">
      <c r="A107" s="51" t="s">
        <v>418</v>
      </c>
      <c r="B107" s="52">
        <v>3.6230000000000002</v>
      </c>
      <c r="C107" s="51" t="s">
        <v>342</v>
      </c>
      <c r="D107" s="53">
        <v>63.802358206301896</v>
      </c>
      <c r="E107" s="55">
        <v>8.6674168150806921</v>
      </c>
      <c r="F107" s="53">
        <v>24812.458504328268</v>
      </c>
      <c r="G107" s="53"/>
      <c r="H107" s="63">
        <f t="shared" si="2"/>
        <v>1.761036660400273</v>
      </c>
      <c r="I107" s="53"/>
      <c r="J107" s="53">
        <v>1441.5183474020166</v>
      </c>
      <c r="K107" s="53">
        <v>-29.299445258613854</v>
      </c>
      <c r="L107" s="55">
        <v>1.0736206334332565</v>
      </c>
      <c r="M107" s="62"/>
      <c r="N107" s="56">
        <f t="shared" si="3"/>
        <v>39.787975363014532</v>
      </c>
    </row>
    <row r="108" spans="1:14" x14ac:dyDescent="0.15">
      <c r="A108" s="51" t="s">
        <v>419</v>
      </c>
      <c r="B108" s="52">
        <v>3.27</v>
      </c>
      <c r="C108" s="51" t="s">
        <v>344</v>
      </c>
      <c r="D108" s="53">
        <v>52.409911208443354</v>
      </c>
      <c r="E108" s="55">
        <v>9.1462270969914119</v>
      </c>
      <c r="F108" s="53">
        <v>26381.954418189453</v>
      </c>
      <c r="G108" s="53"/>
      <c r="H108" s="63">
        <f t="shared" si="2"/>
        <v>1.602749578239858</v>
      </c>
      <c r="I108" s="53"/>
      <c r="J108" s="53">
        <v>1258.1147912049751</v>
      </c>
      <c r="K108" s="53">
        <v>-29.051552686150988</v>
      </c>
      <c r="L108" s="55">
        <v>1.0738918648607676</v>
      </c>
      <c r="M108" s="62"/>
      <c r="N108" s="56">
        <f t="shared" si="3"/>
        <v>38.474458446635325</v>
      </c>
    </row>
    <row r="109" spans="1:14" x14ac:dyDescent="0.15">
      <c r="A109" s="51" t="s">
        <v>420</v>
      </c>
      <c r="B109" s="52">
        <v>3.282</v>
      </c>
      <c r="C109" s="51" t="s">
        <v>346</v>
      </c>
      <c r="D109" s="53">
        <v>62.06913131070371</v>
      </c>
      <c r="E109" s="55">
        <v>8.5030237235116797</v>
      </c>
      <c r="F109" s="53">
        <v>24277.381225961755</v>
      </c>
      <c r="G109" s="53"/>
      <c r="H109" s="63">
        <f t="shared" si="2"/>
        <v>1.8911983945979194</v>
      </c>
      <c r="I109" s="53"/>
      <c r="J109" s="53">
        <v>1255.7558410327804</v>
      </c>
      <c r="K109" s="53">
        <v>-29.239766616304003</v>
      </c>
      <c r="L109" s="55">
        <v>1.0736859309001414</v>
      </c>
      <c r="M109" s="62"/>
      <c r="N109" s="56">
        <f t="shared" si="3"/>
        <v>38.261908623789779</v>
      </c>
    </row>
    <row r="110" spans="1:14" x14ac:dyDescent="0.15">
      <c r="A110" s="51" t="s">
        <v>421</v>
      </c>
      <c r="B110" s="52">
        <v>3.222</v>
      </c>
      <c r="C110" s="51" t="s">
        <v>348</v>
      </c>
      <c r="D110" s="53">
        <v>54.202527354259495</v>
      </c>
      <c r="E110" s="55">
        <v>9.5139169557681491</v>
      </c>
      <c r="F110" s="53">
        <v>27598.483024028057</v>
      </c>
      <c r="G110" s="53"/>
      <c r="H110" s="63">
        <f t="shared" si="2"/>
        <v>1.6822634188162475</v>
      </c>
      <c r="I110" s="53"/>
      <c r="J110" s="53">
        <v>1249.0551421103326</v>
      </c>
      <c r="K110" s="53">
        <v>-29.007567840203599</v>
      </c>
      <c r="L110" s="55">
        <v>1.073939990683674</v>
      </c>
      <c r="M110" s="62"/>
      <c r="N110" s="56">
        <f t="shared" si="3"/>
        <v>38.766453820929009</v>
      </c>
    </row>
    <row r="111" spans="1:14" x14ac:dyDescent="0.15">
      <c r="A111" s="51" t="s">
        <v>422</v>
      </c>
      <c r="B111" s="52">
        <v>3.6280000000000001</v>
      </c>
      <c r="C111" s="51" t="s">
        <v>350</v>
      </c>
      <c r="D111" s="53">
        <v>62.104490180408035</v>
      </c>
      <c r="E111" s="55">
        <v>8.4076292249571996</v>
      </c>
      <c r="F111" s="53">
        <v>23967.765709986943</v>
      </c>
      <c r="G111" s="53"/>
      <c r="H111" s="63">
        <f t="shared" si="2"/>
        <v>1.7118106444434407</v>
      </c>
      <c r="I111" s="53"/>
      <c r="J111" s="53">
        <v>1303.7083566430579</v>
      </c>
      <c r="K111" s="53">
        <v>-29.173462942658684</v>
      </c>
      <c r="L111" s="55">
        <v>1.0737584770529023</v>
      </c>
      <c r="M111" s="62"/>
      <c r="N111" s="56">
        <f t="shared" si="3"/>
        <v>35.934629455431583</v>
      </c>
    </row>
    <row r="112" spans="1:14" x14ac:dyDescent="0.15">
      <c r="A112" s="51" t="s">
        <v>423</v>
      </c>
      <c r="B112" s="52">
        <v>3.3620000000000001</v>
      </c>
      <c r="C112" s="51" t="s">
        <v>352</v>
      </c>
      <c r="D112" s="53">
        <v>59.016105974469532</v>
      </c>
      <c r="E112" s="55">
        <v>8.0188866317225589</v>
      </c>
      <c r="F112" s="53">
        <v>22712.690953608788</v>
      </c>
      <c r="G112" s="53"/>
      <c r="H112" s="63">
        <f t="shared" si="2"/>
        <v>1.7553868523042693</v>
      </c>
      <c r="I112" s="53"/>
      <c r="J112" s="53">
        <v>1274.8431219781185</v>
      </c>
      <c r="K112" s="53">
        <v>-28.545331414133564</v>
      </c>
      <c r="L112" s="55">
        <v>1.0744457417748159</v>
      </c>
      <c r="M112" s="62"/>
      <c r="N112" s="56">
        <f t="shared" si="3"/>
        <v>37.919188637064792</v>
      </c>
    </row>
    <row r="113" spans="1:14" x14ac:dyDescent="0.15">
      <c r="A113" s="51" t="s">
        <v>424</v>
      </c>
      <c r="B113" s="52">
        <v>3.8359999999999999</v>
      </c>
      <c r="C113" s="51" t="s">
        <v>354</v>
      </c>
      <c r="D113" s="53">
        <v>67.30739885171819</v>
      </c>
      <c r="E113" s="55">
        <v>9.0574269690780955</v>
      </c>
      <c r="F113" s="53">
        <v>26089.627494354761</v>
      </c>
      <c r="G113" s="53"/>
      <c r="H113" s="63">
        <f t="shared" si="2"/>
        <v>1.7546245790333208</v>
      </c>
      <c r="I113" s="53"/>
      <c r="J113" s="53">
        <v>1422.8070574683804</v>
      </c>
      <c r="K113" s="53">
        <v>-29.128500103191904</v>
      </c>
      <c r="L113" s="55">
        <v>1.0738076730751887</v>
      </c>
      <c r="M113" s="62"/>
      <c r="N113" s="56">
        <f t="shared" si="3"/>
        <v>37.090903479363412</v>
      </c>
    </row>
    <row r="114" spans="1:14" x14ac:dyDescent="0.15">
      <c r="A114" s="51" t="s">
        <v>425</v>
      </c>
      <c r="B114" s="52">
        <v>3.29</v>
      </c>
      <c r="C114" s="51" t="s">
        <v>356</v>
      </c>
      <c r="D114" s="53">
        <v>51.913343055358773</v>
      </c>
      <c r="E114" s="55">
        <v>10.51157385293194</v>
      </c>
      <c r="F114" s="53">
        <v>30949.664756613249</v>
      </c>
      <c r="G114" s="53"/>
      <c r="H114" s="63">
        <f t="shared" si="2"/>
        <v>1.5779131627768623</v>
      </c>
      <c r="I114" s="53"/>
      <c r="J114" s="53">
        <v>1282.5792017706767</v>
      </c>
      <c r="K114" s="53">
        <v>-29.13235600441903</v>
      </c>
      <c r="L114" s="55">
        <v>1.0738034541486547</v>
      </c>
      <c r="M114" s="62"/>
      <c r="N114" s="56">
        <f t="shared" si="3"/>
        <v>38.98417026658592</v>
      </c>
    </row>
    <row r="115" spans="1:14" x14ac:dyDescent="0.15">
      <c r="A115" s="51" t="s">
        <v>426</v>
      </c>
      <c r="B115" s="52">
        <v>3.3239999999999998</v>
      </c>
      <c r="C115" s="51" t="s">
        <v>358</v>
      </c>
      <c r="D115" s="53">
        <v>60.032530427856607</v>
      </c>
      <c r="E115" s="55">
        <v>7.9495084572874699</v>
      </c>
      <c r="F115" s="53">
        <v>22489.814841313077</v>
      </c>
      <c r="G115" s="53"/>
      <c r="H115" s="63">
        <f t="shared" si="2"/>
        <v>1.8060328046888268</v>
      </c>
      <c r="I115" s="53"/>
      <c r="J115" s="53">
        <v>1322.6425773628698</v>
      </c>
      <c r="K115" s="53">
        <v>-29.601415755404659</v>
      </c>
      <c r="L115" s="55">
        <v>1.0732902306857759</v>
      </c>
      <c r="M115" s="62"/>
      <c r="N115" s="56">
        <f t="shared" si="3"/>
        <v>39.790691256404024</v>
      </c>
    </row>
    <row r="116" spans="1:14" x14ac:dyDescent="0.15">
      <c r="A116" s="51" t="s">
        <v>427</v>
      </c>
      <c r="B116" s="52">
        <v>3.14</v>
      </c>
      <c r="C116" s="51" t="s">
        <v>360</v>
      </c>
      <c r="D116" s="53">
        <v>54.354019184425411</v>
      </c>
      <c r="E116" s="55">
        <v>8.7447278759139504</v>
      </c>
      <c r="F116" s="53">
        <v>25064.762051651003</v>
      </c>
      <c r="G116" s="53"/>
      <c r="H116" s="63">
        <f t="shared" si="2"/>
        <v>1.7310197192492167</v>
      </c>
      <c r="I116" s="53"/>
      <c r="J116" s="53">
        <v>1233.73364568484</v>
      </c>
      <c r="K116" s="53">
        <v>-28.793586869072588</v>
      </c>
      <c r="L116" s="55">
        <v>1.0741741163403253</v>
      </c>
      <c r="M116" s="62"/>
      <c r="N116" s="56">
        <f t="shared" si="3"/>
        <v>39.290880435822928</v>
      </c>
    </row>
    <row r="117" spans="1:14" x14ac:dyDescent="0.15">
      <c r="A117" s="51" t="s">
        <v>428</v>
      </c>
      <c r="B117" s="52">
        <v>3.181</v>
      </c>
      <c r="C117" s="51" t="s">
        <v>362</v>
      </c>
      <c r="D117" s="53">
        <v>56.805624273097372</v>
      </c>
      <c r="E117" s="55">
        <v>9.8869707092110986</v>
      </c>
      <c r="F117" s="53">
        <v>28842.90440787737</v>
      </c>
      <c r="G117" s="53"/>
      <c r="H117" s="63">
        <f t="shared" si="2"/>
        <v>1.7857788202797036</v>
      </c>
      <c r="I117" s="53"/>
      <c r="J117" s="53">
        <v>1229.0478674714627</v>
      </c>
      <c r="K117" s="53">
        <v>-29.382646495362064</v>
      </c>
      <c r="L117" s="55">
        <v>1.0735295985441149</v>
      </c>
      <c r="M117" s="62"/>
      <c r="N117" s="56">
        <f t="shared" si="3"/>
        <v>38.637153960121431</v>
      </c>
    </row>
    <row r="118" spans="1:14" x14ac:dyDescent="0.15">
      <c r="A118" s="51" t="s">
        <v>429</v>
      </c>
      <c r="B118" s="52">
        <v>3.2749999999999999</v>
      </c>
      <c r="C118" s="51" t="s">
        <v>364</v>
      </c>
      <c r="D118" s="53">
        <v>58.012168882494159</v>
      </c>
      <c r="E118" s="55">
        <v>10.587706480107329</v>
      </c>
      <c r="F118" s="53">
        <v>31208.469445910025</v>
      </c>
      <c r="G118" s="53"/>
      <c r="H118" s="63">
        <f t="shared" si="2"/>
        <v>1.771363935343333</v>
      </c>
      <c r="I118" s="53"/>
      <c r="J118" s="53">
        <v>1253.9665731626451</v>
      </c>
      <c r="K118" s="53">
        <v>-29.192481796780559</v>
      </c>
      <c r="L118" s="55">
        <v>1.0737376675879204</v>
      </c>
      <c r="M118" s="62"/>
      <c r="N118" s="56">
        <f t="shared" si="3"/>
        <v>38.289055669088398</v>
      </c>
    </row>
    <row r="119" spans="1:14" x14ac:dyDescent="0.15">
      <c r="A119" s="51" t="s">
        <v>430</v>
      </c>
      <c r="B119" s="52">
        <v>3.5049999999999999</v>
      </c>
      <c r="C119" s="51" t="s">
        <v>366</v>
      </c>
      <c r="D119" s="53">
        <v>58.615831156861759</v>
      </c>
      <c r="E119" s="55">
        <v>8.276978815922849</v>
      </c>
      <c r="F119" s="53">
        <v>23544.767478287318</v>
      </c>
      <c r="G119" s="53"/>
      <c r="H119" s="63">
        <f t="shared" si="2"/>
        <v>1.672348963105899</v>
      </c>
      <c r="I119" s="53"/>
      <c r="J119" s="53">
        <v>1349.5796265756633</v>
      </c>
      <c r="K119" s="53">
        <v>-29.130459104175728</v>
      </c>
      <c r="L119" s="55">
        <v>1.0738055296382669</v>
      </c>
      <c r="M119" s="62"/>
      <c r="N119" s="56">
        <f t="shared" si="3"/>
        <v>38.504411599876271</v>
      </c>
    </row>
    <row r="120" spans="1:14" x14ac:dyDescent="0.15">
      <c r="A120" s="51" t="s">
        <v>431</v>
      </c>
      <c r="B120" s="52">
        <v>3.4540000000000002</v>
      </c>
      <c r="C120" s="51" t="s">
        <v>368</v>
      </c>
      <c r="D120" s="53">
        <v>58.277866441930428</v>
      </c>
      <c r="E120" s="55">
        <v>8.4147443834472266</v>
      </c>
      <c r="F120" s="53">
        <v>23990.836642341397</v>
      </c>
      <c r="G120" s="53"/>
      <c r="H120" s="63">
        <f t="shared" si="2"/>
        <v>1.6872572797316279</v>
      </c>
      <c r="I120" s="53"/>
      <c r="J120" s="53">
        <v>1222.9758643112471</v>
      </c>
      <c r="K120" s="53">
        <v>-28.815578059955616</v>
      </c>
      <c r="L120" s="55">
        <v>1.0741500548967033</v>
      </c>
      <c r="M120" s="62"/>
      <c r="N120" s="56">
        <f t="shared" si="3"/>
        <v>35.407523575890181</v>
      </c>
    </row>
    <row r="121" spans="1:14" x14ac:dyDescent="0.15">
      <c r="A121" s="51" t="s">
        <v>432</v>
      </c>
      <c r="B121" s="52">
        <v>3.2570000000000001</v>
      </c>
      <c r="C121" s="51" t="s">
        <v>370</v>
      </c>
      <c r="D121" s="53">
        <v>55.161950604950064</v>
      </c>
      <c r="E121" s="55">
        <v>8.7752153199844098</v>
      </c>
      <c r="F121" s="53">
        <v>25164.374963363007</v>
      </c>
      <c r="G121" s="53"/>
      <c r="H121" s="63">
        <f t="shared" si="2"/>
        <v>1.6936429415090593</v>
      </c>
      <c r="I121" s="53"/>
      <c r="J121" s="53">
        <v>1172.6651374912451</v>
      </c>
      <c r="K121" s="53">
        <v>-29.256682685990281</v>
      </c>
      <c r="L121" s="55">
        <v>1.0736674221684583</v>
      </c>
      <c r="M121" s="62"/>
      <c r="N121" s="56">
        <f t="shared" si="3"/>
        <v>36.0044561710545</v>
      </c>
    </row>
    <row r="122" spans="1:14" x14ac:dyDescent="0.15">
      <c r="A122" s="51" t="s">
        <v>433</v>
      </c>
      <c r="B122" s="52">
        <v>3.601</v>
      </c>
      <c r="C122" s="51" t="s">
        <v>372</v>
      </c>
      <c r="D122" s="53">
        <v>64.512076171709126</v>
      </c>
      <c r="E122" s="55">
        <v>12.724792503859673</v>
      </c>
      <c r="F122" s="53">
        <v>38657.492332813054</v>
      </c>
      <c r="G122" s="53"/>
      <c r="H122" s="63">
        <f t="shared" si="2"/>
        <v>1.7915044757486565</v>
      </c>
      <c r="I122" s="53"/>
      <c r="J122" s="53">
        <v>1413.6816699695332</v>
      </c>
      <c r="K122" s="53">
        <v>-29.337773666105587</v>
      </c>
      <c r="L122" s="55">
        <v>1.0735786963091027</v>
      </c>
      <c r="M122" s="62"/>
      <c r="N122" s="56">
        <f t="shared" si="3"/>
        <v>39.258030268523555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election activeCell="D7" sqref="D7"/>
    </sheetView>
  </sheetViews>
  <sheetFormatPr baseColWidth="10" defaultColWidth="8.83203125" defaultRowHeight="15" x14ac:dyDescent="0.2"/>
  <sheetData>
    <row r="1" spans="1:4" x14ac:dyDescent="0.2">
      <c r="A1" t="s">
        <v>0</v>
      </c>
      <c r="B1" s="1">
        <v>42144</v>
      </c>
      <c r="C1" s="1">
        <v>42148</v>
      </c>
      <c r="D1" s="1">
        <v>42150</v>
      </c>
    </row>
    <row r="2" spans="1:4" x14ac:dyDescent="0.2">
      <c r="A2">
        <v>1</v>
      </c>
      <c r="B2">
        <v>453.4</v>
      </c>
      <c r="C2">
        <v>364.3</v>
      </c>
      <c r="D2">
        <v>379.4</v>
      </c>
    </row>
    <row r="3" spans="1:4" x14ac:dyDescent="0.2">
      <c r="A3">
        <v>2</v>
      </c>
      <c r="B3">
        <v>399.8</v>
      </c>
      <c r="C3">
        <v>422</v>
      </c>
      <c r="D3">
        <v>391.1</v>
      </c>
    </row>
    <row r="4" spans="1:4" x14ac:dyDescent="0.2">
      <c r="A4">
        <v>3</v>
      </c>
      <c r="B4">
        <v>380.4</v>
      </c>
      <c r="C4">
        <v>455.4</v>
      </c>
      <c r="D4">
        <v>341.3</v>
      </c>
    </row>
    <row r="5" spans="1:4" x14ac:dyDescent="0.2">
      <c r="A5">
        <v>4</v>
      </c>
      <c r="B5">
        <v>283.5</v>
      </c>
      <c r="C5">
        <v>446.9</v>
      </c>
      <c r="D5">
        <v>337.1</v>
      </c>
    </row>
    <row r="6" spans="1:4" x14ac:dyDescent="0.2">
      <c r="A6">
        <v>5</v>
      </c>
      <c r="B6">
        <v>265.10000000000002</v>
      </c>
      <c r="C6">
        <v>351.5</v>
      </c>
      <c r="D6">
        <v>399.1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6"/>
  <sheetViews>
    <sheetView zoomScaleNormal="100" workbookViewId="0">
      <selection activeCell="P5" sqref="P5:P65"/>
    </sheetView>
  </sheetViews>
  <sheetFormatPr baseColWidth="10" defaultColWidth="8.83203125" defaultRowHeight="15" x14ac:dyDescent="0.2"/>
  <cols>
    <col min="1" max="1" width="19" customWidth="1"/>
    <col min="4" max="4" width="10.83203125" customWidth="1"/>
    <col min="7" max="7" width="11.5" customWidth="1"/>
    <col min="8" max="8" width="8.83203125" customWidth="1"/>
    <col min="11" max="12" width="9.1640625" style="2"/>
    <col min="13" max="13" width="10.83203125" style="2" customWidth="1"/>
  </cols>
  <sheetData>
    <row r="1" spans="1:20" s="41" customFormat="1" x14ac:dyDescent="0.2">
      <c r="K1" s="45"/>
      <c r="L1" s="45"/>
      <c r="M1" s="45"/>
    </row>
    <row r="2" spans="1:20" x14ac:dyDescent="0.2">
      <c r="A2" s="9" t="s">
        <v>222</v>
      </c>
      <c r="K2" s="9" t="s">
        <v>224</v>
      </c>
    </row>
    <row r="3" spans="1:20" x14ac:dyDescent="0.2">
      <c r="A3" t="s">
        <v>19</v>
      </c>
      <c r="K3" s="41" t="s">
        <v>225</v>
      </c>
    </row>
    <row r="4" spans="1:20" x14ac:dyDescent="0.2">
      <c r="A4" t="s">
        <v>18</v>
      </c>
      <c r="K4" s="41" t="s">
        <v>226</v>
      </c>
    </row>
    <row r="5" spans="1:20" ht="30" x14ac:dyDescent="0.2">
      <c r="A5" s="10" t="s">
        <v>17</v>
      </c>
      <c r="B5" s="10" t="s">
        <v>16</v>
      </c>
      <c r="C5" s="10" t="s">
        <v>15</v>
      </c>
      <c r="D5" s="10" t="s">
        <v>14</v>
      </c>
      <c r="E5" s="10" t="s">
        <v>13</v>
      </c>
      <c r="F5" s="10" t="s">
        <v>12</v>
      </c>
      <c r="K5" s="2" t="s">
        <v>63</v>
      </c>
      <c r="L5" s="2" t="s">
        <v>45</v>
      </c>
      <c r="M5" s="2" t="s">
        <v>15</v>
      </c>
      <c r="N5" s="45" t="s">
        <v>223</v>
      </c>
      <c r="O5" s="45" t="s">
        <v>13</v>
      </c>
      <c r="P5" s="45" t="s">
        <v>12</v>
      </c>
      <c r="S5" t="s">
        <v>15</v>
      </c>
      <c r="T5" t="s">
        <v>45</v>
      </c>
    </row>
    <row r="6" spans="1:20" x14ac:dyDescent="0.2">
      <c r="A6" t="s">
        <v>11</v>
      </c>
      <c r="B6" s="2">
        <v>0.18</v>
      </c>
      <c r="C6" s="3">
        <f t="shared" ref="C6:C11" si="0">(B6-0.0624)/0.6328</f>
        <v>0.18584070796460175</v>
      </c>
      <c r="D6" s="3">
        <f t="shared" ref="D6:D11" si="1">C6*2</f>
        <v>0.37168141592920351</v>
      </c>
      <c r="E6" s="2">
        <v>0.5</v>
      </c>
      <c r="F6" s="5">
        <f t="shared" ref="F6:F11" si="2">(D6*50)/E6</f>
        <v>37.16814159292035</v>
      </c>
      <c r="G6" s="7" t="s">
        <v>7</v>
      </c>
      <c r="H6" s="8">
        <f>AVERAGE(F6:F8)</f>
        <v>33.382703015305161</v>
      </c>
      <c r="K6" s="2">
        <v>1</v>
      </c>
      <c r="L6">
        <v>0.14799999999999999</v>
      </c>
      <c r="M6" s="3">
        <f>(L6-0.0615)/0.5291</f>
        <v>0.16348516348516348</v>
      </c>
      <c r="N6" s="3">
        <f>M6*(0.75/0.5)</f>
        <v>0.24522774522774521</v>
      </c>
      <c r="O6">
        <v>0.51400000000000001</v>
      </c>
      <c r="P6" s="5">
        <f t="shared" ref="P6:P65" si="3">(N6*50)/O6</f>
        <v>23.854839029936304</v>
      </c>
      <c r="S6">
        <v>0</v>
      </c>
      <c r="T6">
        <v>6.2E-2</v>
      </c>
    </row>
    <row r="7" spans="1:20" x14ac:dyDescent="0.2">
      <c r="A7" t="s">
        <v>10</v>
      </c>
      <c r="B7" s="2">
        <v>0.161</v>
      </c>
      <c r="C7" s="3">
        <f t="shared" si="0"/>
        <v>0.15581542351453856</v>
      </c>
      <c r="D7" s="3">
        <f t="shared" si="1"/>
        <v>0.31163084702907712</v>
      </c>
      <c r="E7" s="2">
        <v>0.47</v>
      </c>
      <c r="F7" s="5">
        <f t="shared" si="2"/>
        <v>33.152217769050758</v>
      </c>
      <c r="G7" s="7" t="s">
        <v>5</v>
      </c>
      <c r="H7" s="6">
        <f>_xlfn.STDEV.S(F6:F8)/SQRT(3)</f>
        <v>2.1221200822837289</v>
      </c>
      <c r="K7" s="2">
        <v>2</v>
      </c>
      <c r="L7">
        <v>0.18099999999999999</v>
      </c>
      <c r="M7" s="3">
        <f t="shared" ref="M7:M65" si="4">(L7-0.0615)/0.5291</f>
        <v>0.22585522585522583</v>
      </c>
      <c r="N7" s="3">
        <f t="shared" ref="N7:N65" si="5">M7*(0.75/0.5)</f>
        <v>0.33878283878283877</v>
      </c>
      <c r="O7">
        <v>0.53500000000000003</v>
      </c>
      <c r="P7" s="5">
        <f t="shared" si="3"/>
        <v>31.661947549798011</v>
      </c>
      <c r="S7">
        <v>0.01</v>
      </c>
      <c r="T7">
        <v>6.5000000000000002E-2</v>
      </c>
    </row>
    <row r="8" spans="1:20" x14ac:dyDescent="0.2">
      <c r="A8" t="s">
        <v>9</v>
      </c>
      <c r="B8" s="2">
        <v>0.153</v>
      </c>
      <c r="C8" s="3">
        <f t="shared" si="0"/>
        <v>0.143173198482933</v>
      </c>
      <c r="D8" s="3">
        <f t="shared" si="1"/>
        <v>0.286346396965866</v>
      </c>
      <c r="E8" s="2">
        <v>0.48</v>
      </c>
      <c r="F8" s="5">
        <f t="shared" si="2"/>
        <v>29.827749683944376</v>
      </c>
      <c r="G8" s="7"/>
      <c r="H8" s="9"/>
      <c r="K8" s="2">
        <v>3</v>
      </c>
      <c r="L8">
        <v>0.16400000000000001</v>
      </c>
      <c r="M8" s="3">
        <f t="shared" si="4"/>
        <v>0.19372519372519373</v>
      </c>
      <c r="N8" s="3">
        <f t="shared" si="5"/>
        <v>0.29058779058779061</v>
      </c>
      <c r="O8">
        <v>0.51700000000000002</v>
      </c>
      <c r="P8" s="5">
        <f t="shared" si="3"/>
        <v>28.103267948529069</v>
      </c>
      <c r="S8">
        <v>0.02</v>
      </c>
      <c r="T8">
        <v>7.1999999999999995E-2</v>
      </c>
    </row>
    <row r="9" spans="1:20" x14ac:dyDescent="0.2">
      <c r="A9" t="s">
        <v>8</v>
      </c>
      <c r="B9" s="2">
        <v>0.17</v>
      </c>
      <c r="C9" s="3">
        <f t="shared" si="0"/>
        <v>0.17003792667509482</v>
      </c>
      <c r="D9" s="3">
        <f t="shared" si="1"/>
        <v>0.34007585335018964</v>
      </c>
      <c r="E9" s="2">
        <v>0.46</v>
      </c>
      <c r="F9" s="5">
        <f t="shared" si="2"/>
        <v>36.964766668498875</v>
      </c>
      <c r="G9" s="7" t="s">
        <v>7</v>
      </c>
      <c r="H9" s="8">
        <f>AVERAGE(F9:F11)</f>
        <v>33.521019989373208</v>
      </c>
      <c r="K9" s="45">
        <v>4</v>
      </c>
      <c r="L9">
        <v>0.193</v>
      </c>
      <c r="M9" s="3">
        <f t="shared" si="4"/>
        <v>0.24853524853524853</v>
      </c>
      <c r="N9" s="3">
        <f t="shared" si="5"/>
        <v>0.37280287280287278</v>
      </c>
      <c r="O9">
        <v>0.54100000000000004</v>
      </c>
      <c r="P9" s="5">
        <f t="shared" si="3"/>
        <v>34.45497900211393</v>
      </c>
      <c r="S9">
        <v>0.05</v>
      </c>
      <c r="T9">
        <v>8.5499999999999993E-2</v>
      </c>
    </row>
    <row r="10" spans="1:20" x14ac:dyDescent="0.2">
      <c r="A10" t="s">
        <v>6</v>
      </c>
      <c r="B10" s="2">
        <v>0.159</v>
      </c>
      <c r="C10" s="3">
        <f t="shared" si="0"/>
        <v>0.15265486725663718</v>
      </c>
      <c r="D10" s="3">
        <f t="shared" si="1"/>
        <v>0.30530973451327437</v>
      </c>
      <c r="E10" s="2">
        <v>0.48</v>
      </c>
      <c r="F10" s="5">
        <f t="shared" si="2"/>
        <v>31.803097345132748</v>
      </c>
      <c r="G10" s="7" t="s">
        <v>5</v>
      </c>
      <c r="H10" s="6">
        <f>_xlfn.STDEV.S(F9:F11)/SQRT(3)</f>
        <v>1.7218748503192032</v>
      </c>
      <c r="K10" s="45">
        <v>5</v>
      </c>
      <c r="L10">
        <v>0.16900000000000001</v>
      </c>
      <c r="M10" s="3">
        <f t="shared" si="4"/>
        <v>0.20317520317520318</v>
      </c>
      <c r="N10" s="3">
        <f t="shared" si="5"/>
        <v>0.30476280476280476</v>
      </c>
      <c r="O10">
        <v>0.53800000000000003</v>
      </c>
      <c r="P10" s="5">
        <f t="shared" si="3"/>
        <v>28.323680740037616</v>
      </c>
      <c r="S10">
        <v>0.1</v>
      </c>
      <c r="T10">
        <v>0.113</v>
      </c>
    </row>
    <row r="11" spans="1:20" x14ac:dyDescent="0.2">
      <c r="A11" t="s">
        <v>4</v>
      </c>
      <c r="B11" s="2">
        <v>0.16300000000000001</v>
      </c>
      <c r="C11" s="3">
        <f t="shared" si="0"/>
        <v>0.15897597977243996</v>
      </c>
      <c r="D11" s="3">
        <f t="shared" si="1"/>
        <v>0.31795195954487993</v>
      </c>
      <c r="E11" s="2">
        <v>0.5</v>
      </c>
      <c r="F11" s="5">
        <f t="shared" si="2"/>
        <v>31.795195954487994</v>
      </c>
      <c r="G11" s="7"/>
      <c r="H11" s="9"/>
      <c r="K11" s="45">
        <v>6</v>
      </c>
      <c r="L11">
        <v>0.18099999999999999</v>
      </c>
      <c r="M11" s="3">
        <f t="shared" si="4"/>
        <v>0.22585522585522583</v>
      </c>
      <c r="N11" s="3">
        <f t="shared" si="5"/>
        <v>0.33878283878283877</v>
      </c>
      <c r="O11">
        <v>0.505</v>
      </c>
      <c r="P11" s="5">
        <f t="shared" si="3"/>
        <v>33.542855325033536</v>
      </c>
      <c r="S11">
        <v>0.2</v>
      </c>
      <c r="T11">
        <v>0.17499999999999999</v>
      </c>
    </row>
    <row r="12" spans="1:20" x14ac:dyDescent="0.2">
      <c r="B12" s="2"/>
      <c r="C12" s="3"/>
      <c r="D12" s="3"/>
      <c r="E12" s="2"/>
      <c r="F12" s="5"/>
      <c r="G12" s="7"/>
      <c r="H12" s="8"/>
      <c r="K12" s="45">
        <v>7</v>
      </c>
      <c r="L12">
        <v>0.16300000000000001</v>
      </c>
      <c r="M12" s="3">
        <f t="shared" si="4"/>
        <v>0.19183519183519185</v>
      </c>
      <c r="N12" s="3">
        <f t="shared" si="5"/>
        <v>0.28775278775278779</v>
      </c>
      <c r="O12">
        <v>0.5</v>
      </c>
      <c r="P12" s="5">
        <f t="shared" si="3"/>
        <v>28.775278775278778</v>
      </c>
      <c r="S12">
        <v>0.5</v>
      </c>
      <c r="T12">
        <v>0.32350000000000001</v>
      </c>
    </row>
    <row r="13" spans="1:20" x14ac:dyDescent="0.2">
      <c r="B13" s="2"/>
      <c r="C13" s="3"/>
      <c r="D13" s="3"/>
      <c r="E13" s="2"/>
      <c r="F13" s="5"/>
      <c r="G13" s="7"/>
      <c r="H13" s="6"/>
      <c r="K13" s="45">
        <v>8</v>
      </c>
      <c r="L13">
        <v>0.18099999999999999</v>
      </c>
      <c r="M13" s="3">
        <f t="shared" si="4"/>
        <v>0.22585522585522583</v>
      </c>
      <c r="N13" s="3">
        <f t="shared" si="5"/>
        <v>0.33878283878283877</v>
      </c>
      <c r="O13">
        <v>0.502</v>
      </c>
      <c r="P13" s="5">
        <f t="shared" si="3"/>
        <v>33.743310635740912</v>
      </c>
      <c r="S13" s="18">
        <v>1</v>
      </c>
      <c r="T13" s="18">
        <v>0.52550000000000008</v>
      </c>
    </row>
    <row r="14" spans="1:20" x14ac:dyDescent="0.2">
      <c r="B14" s="2"/>
      <c r="C14" s="3"/>
      <c r="D14" s="3"/>
      <c r="E14" s="2"/>
      <c r="F14" s="5"/>
      <c r="G14" s="7"/>
      <c r="H14" s="9"/>
      <c r="K14" s="45">
        <v>9</v>
      </c>
      <c r="L14">
        <v>0.17399999999999999</v>
      </c>
      <c r="M14" s="3">
        <f t="shared" si="4"/>
        <v>0.21262521262521261</v>
      </c>
      <c r="N14" s="3">
        <f t="shared" si="5"/>
        <v>0.31893781893781892</v>
      </c>
      <c r="O14">
        <v>0.505</v>
      </c>
      <c r="P14" s="5">
        <f t="shared" si="3"/>
        <v>31.578001875031575</v>
      </c>
    </row>
    <row r="15" spans="1:20" ht="30" x14ac:dyDescent="0.2">
      <c r="A15" s="10" t="s">
        <v>3</v>
      </c>
      <c r="B15" s="10" t="s">
        <v>2</v>
      </c>
      <c r="C15" s="10" t="s">
        <v>1</v>
      </c>
      <c r="D15" s="3"/>
      <c r="E15" s="2"/>
      <c r="F15" s="5"/>
      <c r="G15" s="7"/>
      <c r="H15" s="9"/>
      <c r="K15" s="45">
        <v>10</v>
      </c>
      <c r="L15">
        <v>0.16300000000000001</v>
      </c>
      <c r="M15" s="3">
        <f t="shared" si="4"/>
        <v>0.19183519183519185</v>
      </c>
      <c r="N15" s="3">
        <f t="shared" si="5"/>
        <v>0.28775278775278779</v>
      </c>
      <c r="O15">
        <v>0.51100000000000001</v>
      </c>
      <c r="P15" s="5">
        <f t="shared" si="3"/>
        <v>28.155850073658296</v>
      </c>
    </row>
    <row r="16" spans="1:20" x14ac:dyDescent="0.2">
      <c r="A16" s="2">
        <v>0</v>
      </c>
      <c r="B16" s="2">
        <v>0</v>
      </c>
      <c r="C16" s="2">
        <v>6.5000000000000002E-2</v>
      </c>
      <c r="D16" s="3"/>
      <c r="E16" s="2"/>
      <c r="F16" s="5"/>
      <c r="G16" s="7"/>
      <c r="H16" s="9"/>
      <c r="K16" s="45">
        <v>11</v>
      </c>
      <c r="L16">
        <v>0.17100000000000001</v>
      </c>
      <c r="M16" s="3">
        <f t="shared" si="4"/>
        <v>0.20695520695520697</v>
      </c>
      <c r="N16" s="3">
        <f t="shared" si="5"/>
        <v>0.31043281043281046</v>
      </c>
      <c r="O16">
        <v>0.52500000000000002</v>
      </c>
      <c r="P16" s="5">
        <f t="shared" si="3"/>
        <v>29.565029565029565</v>
      </c>
    </row>
    <row r="17" spans="1:16" x14ac:dyDescent="0.2">
      <c r="A17" s="2">
        <v>1</v>
      </c>
      <c r="B17" s="3">
        <f>(2*A17)/300</f>
        <v>6.6666666666666671E-3</v>
      </c>
      <c r="C17" s="2">
        <v>6.6000000000000003E-2</v>
      </c>
      <c r="D17" s="3"/>
      <c r="E17" s="2"/>
      <c r="F17" s="5"/>
      <c r="G17" s="7"/>
      <c r="H17" s="9"/>
      <c r="K17" s="45">
        <v>12</v>
      </c>
      <c r="L17">
        <v>0.17899999999999999</v>
      </c>
      <c r="M17" s="3">
        <f t="shared" si="4"/>
        <v>0.22207522207522207</v>
      </c>
      <c r="N17" s="3">
        <f t="shared" si="5"/>
        <v>0.33311283311283313</v>
      </c>
      <c r="O17">
        <v>0.52800000000000002</v>
      </c>
      <c r="P17" s="5">
        <f t="shared" si="3"/>
        <v>31.544775862957678</v>
      </c>
    </row>
    <row r="18" spans="1:16" x14ac:dyDescent="0.2">
      <c r="A18" s="2">
        <v>5</v>
      </c>
      <c r="B18" s="3">
        <f>(2*A18)/300</f>
        <v>3.3333333333333333E-2</v>
      </c>
      <c r="C18" s="2">
        <v>8.3000000000000004E-2</v>
      </c>
      <c r="D18" s="3"/>
      <c r="E18" s="2"/>
      <c r="F18" s="5"/>
      <c r="G18" s="7"/>
      <c r="H18" s="8"/>
      <c r="K18" s="45">
        <v>13</v>
      </c>
      <c r="L18">
        <v>0.16</v>
      </c>
      <c r="M18" s="3">
        <f t="shared" si="4"/>
        <v>0.18616518616518618</v>
      </c>
      <c r="N18" s="3">
        <f t="shared" si="5"/>
        <v>0.27924777924777927</v>
      </c>
      <c r="O18">
        <v>0.52600000000000002</v>
      </c>
      <c r="P18" s="5">
        <f t="shared" si="3"/>
        <v>26.544465707963809</v>
      </c>
    </row>
    <row r="19" spans="1:16" x14ac:dyDescent="0.2">
      <c r="A19" s="2">
        <v>10</v>
      </c>
      <c r="B19" s="3">
        <f>(2*A19)/300</f>
        <v>6.6666666666666666E-2</v>
      </c>
      <c r="C19" s="2">
        <v>0.10299999999999999</v>
      </c>
      <c r="D19" s="3"/>
      <c r="E19" s="2"/>
      <c r="F19" s="5"/>
      <c r="G19" s="7"/>
      <c r="H19" s="6"/>
      <c r="K19" s="45">
        <v>14</v>
      </c>
      <c r="L19">
        <v>0.151</v>
      </c>
      <c r="M19" s="3">
        <f t="shared" si="4"/>
        <v>0.16915516915516915</v>
      </c>
      <c r="N19" s="3">
        <f t="shared" si="5"/>
        <v>0.25373275373275372</v>
      </c>
      <c r="O19">
        <v>0.51300000000000001</v>
      </c>
      <c r="P19" s="5">
        <f t="shared" si="3"/>
        <v>24.730287888182623</v>
      </c>
    </row>
    <row r="20" spans="1:16" x14ac:dyDescent="0.2">
      <c r="A20" s="2">
        <v>20</v>
      </c>
      <c r="B20" s="3">
        <f>(2*A20)/300</f>
        <v>0.13333333333333333</v>
      </c>
      <c r="C20" s="2">
        <v>0.14599999999999999</v>
      </c>
      <c r="D20" s="3"/>
      <c r="E20" s="2"/>
      <c r="F20" s="5"/>
      <c r="G20" s="7"/>
      <c r="H20" s="9"/>
      <c r="K20" s="45">
        <v>15</v>
      </c>
      <c r="L20">
        <v>0.153</v>
      </c>
      <c r="M20" s="3">
        <f t="shared" si="4"/>
        <v>0.17293517293517294</v>
      </c>
      <c r="N20" s="3">
        <f t="shared" si="5"/>
        <v>0.25940275940275942</v>
      </c>
      <c r="O20">
        <v>0.52400000000000002</v>
      </c>
      <c r="P20" s="5">
        <f t="shared" si="3"/>
        <v>24.752171698736586</v>
      </c>
    </row>
    <row r="21" spans="1:16" x14ac:dyDescent="0.2">
      <c r="A21" s="2">
        <v>40</v>
      </c>
      <c r="B21" s="3">
        <f>(2*A21)/300</f>
        <v>0.26666666666666666</v>
      </c>
      <c r="C21" s="2">
        <v>0.23200000000000001</v>
      </c>
      <c r="D21" s="3"/>
      <c r="E21" s="2"/>
      <c r="F21" s="5"/>
      <c r="G21" s="7"/>
      <c r="H21" s="8"/>
      <c r="K21" s="45">
        <v>16</v>
      </c>
      <c r="L21">
        <v>0.17100000000000001</v>
      </c>
      <c r="M21" s="3">
        <f t="shared" si="4"/>
        <v>0.20695520695520697</v>
      </c>
      <c r="N21" s="3">
        <f t="shared" si="5"/>
        <v>0.31043281043281046</v>
      </c>
      <c r="O21">
        <v>0.50600000000000001</v>
      </c>
      <c r="P21" s="5">
        <f t="shared" si="3"/>
        <v>30.67517889652277</v>
      </c>
    </row>
    <row r="22" spans="1:16" x14ac:dyDescent="0.2">
      <c r="B22" s="2"/>
      <c r="C22" s="3"/>
      <c r="D22" s="3"/>
      <c r="E22" s="2"/>
      <c r="F22" s="5"/>
      <c r="G22" s="7"/>
      <c r="H22" s="6"/>
      <c r="K22" s="45">
        <v>17</v>
      </c>
      <c r="L22">
        <v>0.17399999999999999</v>
      </c>
      <c r="M22" s="3">
        <f t="shared" si="4"/>
        <v>0.21262521262521261</v>
      </c>
      <c r="N22" s="3">
        <f t="shared" si="5"/>
        <v>0.31893781893781892</v>
      </c>
      <c r="O22">
        <v>0.52500000000000002</v>
      </c>
      <c r="P22" s="5">
        <f t="shared" si="3"/>
        <v>30.37503037503037</v>
      </c>
    </row>
    <row r="23" spans="1:16" x14ac:dyDescent="0.2">
      <c r="B23" s="2"/>
      <c r="C23" s="3"/>
      <c r="D23" s="3"/>
      <c r="E23" s="2"/>
      <c r="F23" s="5"/>
      <c r="K23" s="45">
        <v>18</v>
      </c>
      <c r="L23">
        <v>0.16700000000000001</v>
      </c>
      <c r="M23" s="3">
        <f t="shared" si="4"/>
        <v>0.1993951993951994</v>
      </c>
      <c r="N23" s="3">
        <f t="shared" si="5"/>
        <v>0.29909279909279907</v>
      </c>
      <c r="O23">
        <v>0.53100000000000003</v>
      </c>
      <c r="P23" s="5">
        <f t="shared" si="3"/>
        <v>28.16316375638409</v>
      </c>
    </row>
    <row r="24" spans="1:16" x14ac:dyDescent="0.2">
      <c r="G24" s="4"/>
      <c r="K24" s="45">
        <v>19</v>
      </c>
      <c r="L24">
        <v>0.161</v>
      </c>
      <c r="M24" s="3">
        <f t="shared" si="4"/>
        <v>0.18805518805518806</v>
      </c>
      <c r="N24" s="3">
        <f t="shared" si="5"/>
        <v>0.28208278208278209</v>
      </c>
      <c r="O24">
        <v>0.51500000000000001</v>
      </c>
      <c r="P24" s="5">
        <f t="shared" si="3"/>
        <v>27.386677872114767</v>
      </c>
    </row>
    <row r="25" spans="1:16" x14ac:dyDescent="0.2">
      <c r="K25" s="45">
        <v>20</v>
      </c>
      <c r="L25">
        <v>0.17499999999999999</v>
      </c>
      <c r="M25" s="3">
        <f t="shared" si="4"/>
        <v>0.21451521451521449</v>
      </c>
      <c r="N25" s="3">
        <f t="shared" si="5"/>
        <v>0.32177282177282174</v>
      </c>
      <c r="O25">
        <v>0.51900000000000002</v>
      </c>
      <c r="P25" s="5">
        <f t="shared" si="3"/>
        <v>30.999308455955848</v>
      </c>
    </row>
    <row r="26" spans="1:16" x14ac:dyDescent="0.2">
      <c r="K26" s="45">
        <v>21</v>
      </c>
      <c r="L26">
        <v>0.17</v>
      </c>
      <c r="M26" s="3">
        <f t="shared" si="4"/>
        <v>0.20506520506520509</v>
      </c>
      <c r="N26" s="3">
        <f t="shared" si="5"/>
        <v>0.30759780759780764</v>
      </c>
      <c r="O26">
        <v>0.52200000000000002</v>
      </c>
      <c r="P26" s="5">
        <f t="shared" si="3"/>
        <v>29.463391532357051</v>
      </c>
    </row>
    <row r="27" spans="1:16" x14ac:dyDescent="0.2">
      <c r="K27" s="45">
        <v>22</v>
      </c>
      <c r="L27">
        <v>0.19600000000000001</v>
      </c>
      <c r="M27" s="3">
        <f t="shared" si="4"/>
        <v>0.25420525420525419</v>
      </c>
      <c r="N27" s="3">
        <f t="shared" si="5"/>
        <v>0.38130788130788129</v>
      </c>
      <c r="O27">
        <v>0.50900000000000001</v>
      </c>
      <c r="P27" s="5">
        <f t="shared" si="3"/>
        <v>37.456569873072816</v>
      </c>
    </row>
    <row r="28" spans="1:16" x14ac:dyDescent="0.2">
      <c r="K28" s="45">
        <v>23</v>
      </c>
      <c r="L28">
        <v>0.191</v>
      </c>
      <c r="M28" s="3">
        <f t="shared" si="4"/>
        <v>0.24475524475524477</v>
      </c>
      <c r="N28" s="3">
        <f t="shared" si="5"/>
        <v>0.36713286713286714</v>
      </c>
      <c r="O28">
        <v>0.504</v>
      </c>
      <c r="P28" s="5">
        <f t="shared" si="3"/>
        <v>36.421911421911425</v>
      </c>
    </row>
    <row r="29" spans="1:16" x14ac:dyDescent="0.2">
      <c r="K29" s="45">
        <v>24</v>
      </c>
      <c r="L29">
        <v>0.185</v>
      </c>
      <c r="M29" s="3">
        <f t="shared" si="4"/>
        <v>0.2334152334152334</v>
      </c>
      <c r="N29" s="3">
        <f t="shared" si="5"/>
        <v>0.3501228501228501</v>
      </c>
      <c r="O29">
        <v>0.54500000000000004</v>
      </c>
      <c r="P29" s="5">
        <f t="shared" si="3"/>
        <v>32.121362396591749</v>
      </c>
    </row>
    <row r="30" spans="1:16" x14ac:dyDescent="0.2">
      <c r="K30" s="45">
        <v>25</v>
      </c>
      <c r="L30">
        <v>0.16500000000000001</v>
      </c>
      <c r="M30" s="3">
        <f t="shared" si="4"/>
        <v>0.19561519561519564</v>
      </c>
      <c r="N30" s="3">
        <f t="shared" si="5"/>
        <v>0.29342279342279343</v>
      </c>
      <c r="O30">
        <v>0.51900000000000002</v>
      </c>
      <c r="P30" s="5">
        <f t="shared" si="3"/>
        <v>28.268091851906881</v>
      </c>
    </row>
    <row r="31" spans="1:16" x14ac:dyDescent="0.2">
      <c r="K31" s="45">
        <v>26</v>
      </c>
      <c r="L31">
        <v>0.17299999999999999</v>
      </c>
      <c r="M31" s="3">
        <f t="shared" si="4"/>
        <v>0.2107352107352107</v>
      </c>
      <c r="N31" s="3">
        <f t="shared" si="5"/>
        <v>0.31610281610281604</v>
      </c>
      <c r="O31">
        <v>0.505</v>
      </c>
      <c r="P31" s="5">
        <f t="shared" si="3"/>
        <v>31.297308525031291</v>
      </c>
    </row>
    <row r="32" spans="1:16" x14ac:dyDescent="0.2">
      <c r="A32" s="2"/>
      <c r="B32" s="3"/>
      <c r="C32" s="2"/>
      <c r="K32" s="45">
        <v>27</v>
      </c>
      <c r="L32">
        <v>0.14399999999999999</v>
      </c>
      <c r="M32" s="3">
        <f t="shared" si="4"/>
        <v>0.15592515592515591</v>
      </c>
      <c r="N32" s="3">
        <f t="shared" si="5"/>
        <v>0.23388773388773387</v>
      </c>
      <c r="O32">
        <v>0.51300000000000001</v>
      </c>
      <c r="P32" s="5">
        <f t="shared" si="3"/>
        <v>22.796075427654372</v>
      </c>
    </row>
    <row r="33" spans="1:16" x14ac:dyDescent="0.2">
      <c r="A33" s="2"/>
      <c r="B33" s="3"/>
      <c r="C33" s="2"/>
      <c r="K33" s="45">
        <v>28</v>
      </c>
      <c r="L33">
        <v>0.153</v>
      </c>
      <c r="M33" s="3">
        <f t="shared" si="4"/>
        <v>0.17293517293517294</v>
      </c>
      <c r="N33" s="3">
        <f t="shared" si="5"/>
        <v>0.25940275940275942</v>
      </c>
      <c r="O33">
        <v>0.5</v>
      </c>
      <c r="P33" s="5">
        <f t="shared" si="3"/>
        <v>25.940275940275942</v>
      </c>
    </row>
    <row r="34" spans="1:16" x14ac:dyDescent="0.2">
      <c r="A34" s="2"/>
      <c r="B34" s="3"/>
      <c r="C34" s="2"/>
      <c r="K34" s="45">
        <v>29</v>
      </c>
      <c r="L34">
        <v>0.16900000000000001</v>
      </c>
      <c r="M34" s="3">
        <f t="shared" si="4"/>
        <v>0.20317520317520318</v>
      </c>
      <c r="N34" s="3">
        <f t="shared" si="5"/>
        <v>0.30476280476280476</v>
      </c>
      <c r="O34">
        <v>0.51500000000000001</v>
      </c>
      <c r="P34" s="5">
        <f t="shared" si="3"/>
        <v>29.588621821631531</v>
      </c>
    </row>
    <row r="35" spans="1:16" x14ac:dyDescent="0.2">
      <c r="A35" s="2"/>
      <c r="B35" s="3"/>
      <c r="C35" s="2"/>
      <c r="K35" s="45">
        <v>30</v>
      </c>
      <c r="L35">
        <v>0.20399999999999999</v>
      </c>
      <c r="M35" s="3">
        <f t="shared" si="4"/>
        <v>0.26932526932526929</v>
      </c>
      <c r="N35" s="3">
        <f t="shared" si="5"/>
        <v>0.40398790398790396</v>
      </c>
      <c r="O35">
        <v>0.503</v>
      </c>
      <c r="P35" s="5">
        <f t="shared" si="3"/>
        <v>40.15784333875785</v>
      </c>
    </row>
    <row r="36" spans="1:16" x14ac:dyDescent="0.2">
      <c r="A36" s="2"/>
      <c r="B36" s="3"/>
      <c r="C36" s="2"/>
      <c r="K36" s="45">
        <v>31</v>
      </c>
      <c r="L36">
        <v>0.185</v>
      </c>
      <c r="M36" s="3">
        <f t="shared" si="4"/>
        <v>0.2334152334152334</v>
      </c>
      <c r="N36" s="3">
        <f t="shared" si="5"/>
        <v>0.3501228501228501</v>
      </c>
      <c r="O36">
        <v>0.53900000000000003</v>
      </c>
      <c r="P36" s="5">
        <f t="shared" si="3"/>
        <v>32.478928582824686</v>
      </c>
    </row>
    <row r="37" spans="1:16" x14ac:dyDescent="0.2">
      <c r="A37" s="2"/>
      <c r="B37" s="3"/>
      <c r="C37" s="2"/>
      <c r="K37" s="45">
        <v>32</v>
      </c>
      <c r="L37">
        <v>0.184</v>
      </c>
      <c r="M37" s="3">
        <f t="shared" si="4"/>
        <v>0.23152523152523152</v>
      </c>
      <c r="N37" s="3">
        <f t="shared" si="5"/>
        <v>0.34728784728784728</v>
      </c>
      <c r="O37">
        <v>0.51500000000000001</v>
      </c>
      <c r="P37" s="5">
        <f t="shared" si="3"/>
        <v>33.717266726975467</v>
      </c>
    </row>
    <row r="38" spans="1:16" x14ac:dyDescent="0.2">
      <c r="K38" s="45">
        <v>33</v>
      </c>
      <c r="L38">
        <v>0.161</v>
      </c>
      <c r="M38" s="3">
        <f t="shared" si="4"/>
        <v>0.18805518805518806</v>
      </c>
      <c r="N38" s="3">
        <f t="shared" si="5"/>
        <v>0.28208278208278209</v>
      </c>
      <c r="O38">
        <v>0.503</v>
      </c>
      <c r="P38" s="5">
        <f t="shared" si="3"/>
        <v>28.040037980395834</v>
      </c>
    </row>
    <row r="39" spans="1:16" x14ac:dyDescent="0.2">
      <c r="K39" s="45">
        <v>34</v>
      </c>
      <c r="L39">
        <v>0.17299999999999999</v>
      </c>
      <c r="M39" s="3">
        <f t="shared" si="4"/>
        <v>0.2107352107352107</v>
      </c>
      <c r="N39" s="3">
        <f t="shared" si="5"/>
        <v>0.31610281610281604</v>
      </c>
      <c r="O39">
        <v>0.51500000000000001</v>
      </c>
      <c r="P39" s="5">
        <f t="shared" si="3"/>
        <v>30.689593796389907</v>
      </c>
    </row>
    <row r="40" spans="1:16" x14ac:dyDescent="0.2">
      <c r="K40" s="45">
        <v>35</v>
      </c>
      <c r="L40">
        <v>0.16900000000000001</v>
      </c>
      <c r="M40" s="3">
        <f t="shared" si="4"/>
        <v>0.20317520317520318</v>
      </c>
      <c r="N40" s="3">
        <f t="shared" si="5"/>
        <v>0.30476280476280476</v>
      </c>
      <c r="O40">
        <v>0.52</v>
      </c>
      <c r="P40" s="5">
        <f t="shared" si="3"/>
        <v>29.304115842577378</v>
      </c>
    </row>
    <row r="41" spans="1:16" x14ac:dyDescent="0.2">
      <c r="K41" s="45">
        <v>36</v>
      </c>
      <c r="L41">
        <v>0.158</v>
      </c>
      <c r="M41" s="3">
        <f t="shared" si="4"/>
        <v>0.18238518238518239</v>
      </c>
      <c r="N41" s="3">
        <f t="shared" si="5"/>
        <v>0.27357777357777358</v>
      </c>
      <c r="O41">
        <v>0.53300000000000003</v>
      </c>
      <c r="P41" s="5">
        <f t="shared" si="3"/>
        <v>25.663956245569754</v>
      </c>
    </row>
    <row r="42" spans="1:16" x14ac:dyDescent="0.2">
      <c r="K42" s="45">
        <v>37</v>
      </c>
      <c r="L42">
        <v>0.159</v>
      </c>
      <c r="M42" s="3">
        <f t="shared" si="4"/>
        <v>0.18427518427518427</v>
      </c>
      <c r="N42" s="3">
        <f t="shared" si="5"/>
        <v>0.2764127764127764</v>
      </c>
      <c r="O42">
        <v>0.52600000000000002</v>
      </c>
      <c r="P42" s="5">
        <f t="shared" si="3"/>
        <v>26.274978746461635</v>
      </c>
    </row>
    <row r="43" spans="1:16" x14ac:dyDescent="0.2">
      <c r="K43" s="45">
        <v>38</v>
      </c>
      <c r="L43">
        <v>0.17899999999999999</v>
      </c>
      <c r="M43" s="3">
        <f t="shared" si="4"/>
        <v>0.22207522207522207</v>
      </c>
      <c r="N43" s="3">
        <f t="shared" si="5"/>
        <v>0.33311283311283313</v>
      </c>
      <c r="O43">
        <v>0.53700000000000003</v>
      </c>
      <c r="P43" s="5">
        <f t="shared" si="3"/>
        <v>31.016092468606434</v>
      </c>
    </row>
    <row r="44" spans="1:16" x14ac:dyDescent="0.2">
      <c r="K44" s="45">
        <v>39</v>
      </c>
      <c r="L44">
        <v>0.15</v>
      </c>
      <c r="M44" s="3">
        <f t="shared" si="4"/>
        <v>0.16726516726516724</v>
      </c>
      <c r="N44" s="3">
        <f t="shared" si="5"/>
        <v>0.25089775089775085</v>
      </c>
      <c r="O44">
        <v>0.53100000000000003</v>
      </c>
      <c r="P44" s="5">
        <f t="shared" si="3"/>
        <v>23.625023625023619</v>
      </c>
    </row>
    <row r="45" spans="1:16" x14ac:dyDescent="0.2">
      <c r="K45" s="45">
        <v>40</v>
      </c>
      <c r="L45">
        <v>0.18099999999999999</v>
      </c>
      <c r="M45" s="3">
        <f t="shared" si="4"/>
        <v>0.22585522585522583</v>
      </c>
      <c r="N45" s="3">
        <f t="shared" si="5"/>
        <v>0.33878283878283877</v>
      </c>
      <c r="O45">
        <v>0.51200000000000001</v>
      </c>
      <c r="P45" s="5">
        <f t="shared" si="3"/>
        <v>33.084261599886595</v>
      </c>
    </row>
    <row r="46" spans="1:16" x14ac:dyDescent="0.2">
      <c r="K46" s="45">
        <v>41</v>
      </c>
      <c r="L46">
        <v>0.161</v>
      </c>
      <c r="M46" s="3">
        <f t="shared" si="4"/>
        <v>0.18805518805518806</v>
      </c>
      <c r="N46" s="3">
        <f t="shared" si="5"/>
        <v>0.28208278208278209</v>
      </c>
      <c r="O46">
        <v>0.51600000000000001</v>
      </c>
      <c r="P46" s="5">
        <f t="shared" si="3"/>
        <v>27.333602914998263</v>
      </c>
    </row>
    <row r="47" spans="1:16" x14ac:dyDescent="0.2">
      <c r="K47" s="45">
        <v>42</v>
      </c>
      <c r="L47">
        <v>0.191</v>
      </c>
      <c r="M47" s="3">
        <f t="shared" si="4"/>
        <v>0.24475524475524477</v>
      </c>
      <c r="N47" s="3">
        <f t="shared" si="5"/>
        <v>0.36713286713286714</v>
      </c>
      <c r="O47">
        <v>0.52700000000000002</v>
      </c>
      <c r="P47" s="5">
        <f t="shared" si="3"/>
        <v>34.832340335186636</v>
      </c>
    </row>
    <row r="48" spans="1:16" x14ac:dyDescent="0.2">
      <c r="K48" s="45">
        <v>43</v>
      </c>
      <c r="L48">
        <v>0.19900000000000001</v>
      </c>
      <c r="M48" s="3">
        <f t="shared" si="4"/>
        <v>0.25987525987525989</v>
      </c>
      <c r="N48" s="3">
        <f t="shared" si="5"/>
        <v>0.38981288981288986</v>
      </c>
      <c r="O48">
        <v>0.52300000000000002</v>
      </c>
      <c r="P48" s="5">
        <f t="shared" si="3"/>
        <v>37.267006674272452</v>
      </c>
    </row>
    <row r="49" spans="11:16" x14ac:dyDescent="0.2">
      <c r="K49" s="45">
        <v>44</v>
      </c>
      <c r="L49">
        <v>0.16800000000000001</v>
      </c>
      <c r="M49" s="3">
        <f t="shared" si="4"/>
        <v>0.2012852012852013</v>
      </c>
      <c r="N49" s="3">
        <f t="shared" si="5"/>
        <v>0.30192780192780194</v>
      </c>
      <c r="O49">
        <v>0.52300000000000002</v>
      </c>
      <c r="P49" s="5">
        <f t="shared" si="3"/>
        <v>28.864990624072842</v>
      </c>
    </row>
    <row r="50" spans="11:16" x14ac:dyDescent="0.2">
      <c r="K50" s="45">
        <v>45</v>
      </c>
      <c r="L50">
        <v>0.158</v>
      </c>
      <c r="M50" s="3">
        <f t="shared" si="4"/>
        <v>0.18238518238518239</v>
      </c>
      <c r="N50" s="3">
        <f t="shared" si="5"/>
        <v>0.27357777357777358</v>
      </c>
      <c r="O50">
        <v>0.53800000000000003</v>
      </c>
      <c r="P50" s="5">
        <f t="shared" si="3"/>
        <v>25.425443641057022</v>
      </c>
    </row>
    <row r="51" spans="11:16" x14ac:dyDescent="0.2">
      <c r="K51" s="45">
        <v>46</v>
      </c>
      <c r="L51">
        <v>0.189</v>
      </c>
      <c r="M51" s="3">
        <f t="shared" si="4"/>
        <v>0.24097524097524098</v>
      </c>
      <c r="N51" s="3">
        <f t="shared" si="5"/>
        <v>0.36146286146286144</v>
      </c>
      <c r="O51">
        <v>0.50900000000000001</v>
      </c>
      <c r="P51" s="5">
        <f t="shared" si="3"/>
        <v>35.50715731462293</v>
      </c>
    </row>
    <row r="52" spans="11:16" x14ac:dyDescent="0.2">
      <c r="K52" s="45">
        <v>47</v>
      </c>
      <c r="L52">
        <v>0.17299999999999999</v>
      </c>
      <c r="M52" s="3">
        <f t="shared" si="4"/>
        <v>0.2107352107352107</v>
      </c>
      <c r="N52" s="3">
        <f t="shared" si="5"/>
        <v>0.31610281610281604</v>
      </c>
      <c r="O52">
        <v>0.53900000000000003</v>
      </c>
      <c r="P52" s="5">
        <f t="shared" si="3"/>
        <v>29.323081271133212</v>
      </c>
    </row>
    <row r="53" spans="11:16" x14ac:dyDescent="0.2">
      <c r="K53" s="45">
        <v>48</v>
      </c>
      <c r="L53">
        <v>0.19600000000000001</v>
      </c>
      <c r="M53" s="3">
        <f t="shared" si="4"/>
        <v>0.25420525420525419</v>
      </c>
      <c r="N53" s="3">
        <f t="shared" si="5"/>
        <v>0.38130788130788129</v>
      </c>
      <c r="O53">
        <v>0.53200000000000003</v>
      </c>
      <c r="P53" s="5">
        <f t="shared" si="3"/>
        <v>35.837206889838463</v>
      </c>
    </row>
    <row r="54" spans="11:16" x14ac:dyDescent="0.2">
      <c r="K54" s="45">
        <v>49</v>
      </c>
      <c r="L54">
        <v>0.14299999999999999</v>
      </c>
      <c r="M54" s="3">
        <f t="shared" si="4"/>
        <v>0.154035154035154</v>
      </c>
      <c r="N54" s="3">
        <f t="shared" si="5"/>
        <v>0.231052731052731</v>
      </c>
      <c r="O54">
        <v>0.50800000000000001</v>
      </c>
      <c r="P54" s="5">
        <f t="shared" si="3"/>
        <v>22.741410536686121</v>
      </c>
    </row>
    <row r="55" spans="11:16" x14ac:dyDescent="0.2">
      <c r="K55" s="45">
        <v>50</v>
      </c>
      <c r="L55">
        <v>0.183</v>
      </c>
      <c r="M55" s="3">
        <f t="shared" si="4"/>
        <v>0.22963522963522962</v>
      </c>
      <c r="N55" s="3">
        <f t="shared" si="5"/>
        <v>0.34445284445284441</v>
      </c>
      <c r="O55">
        <v>0.50600000000000001</v>
      </c>
      <c r="P55" s="5">
        <f t="shared" si="3"/>
        <v>34.036842337237594</v>
      </c>
    </row>
    <row r="56" spans="11:16" x14ac:dyDescent="0.2">
      <c r="K56" s="45">
        <v>51</v>
      </c>
      <c r="L56">
        <v>0.158</v>
      </c>
      <c r="M56" s="3">
        <f t="shared" si="4"/>
        <v>0.18238518238518239</v>
      </c>
      <c r="N56" s="3">
        <f t="shared" si="5"/>
        <v>0.27357777357777358</v>
      </c>
      <c r="O56">
        <v>0.52100000000000002</v>
      </c>
      <c r="P56" s="5">
        <f t="shared" si="3"/>
        <v>26.255064642780575</v>
      </c>
    </row>
    <row r="57" spans="11:16" x14ac:dyDescent="0.2">
      <c r="K57" s="45">
        <v>52</v>
      </c>
      <c r="L57">
        <v>0.14499999999999999</v>
      </c>
      <c r="M57" s="3">
        <f t="shared" si="4"/>
        <v>0.15781515781515779</v>
      </c>
      <c r="N57" s="3">
        <f t="shared" si="5"/>
        <v>0.23672273672273669</v>
      </c>
      <c r="O57">
        <v>0.505</v>
      </c>
      <c r="P57" s="5">
        <f t="shared" si="3"/>
        <v>23.437894725023433</v>
      </c>
    </row>
    <row r="58" spans="11:16" x14ac:dyDescent="0.2">
      <c r="K58" s="45">
        <v>53</v>
      </c>
      <c r="L58">
        <v>0.16500000000000001</v>
      </c>
      <c r="M58" s="3">
        <f t="shared" si="4"/>
        <v>0.19561519561519564</v>
      </c>
      <c r="N58" s="3">
        <f t="shared" si="5"/>
        <v>0.29342279342279343</v>
      </c>
      <c r="O58">
        <v>0.53700000000000003</v>
      </c>
      <c r="P58" s="5">
        <f t="shared" si="3"/>
        <v>27.32055804681503</v>
      </c>
    </row>
    <row r="59" spans="11:16" x14ac:dyDescent="0.2">
      <c r="K59" s="45">
        <v>54</v>
      </c>
      <c r="L59">
        <v>0.17299999999999999</v>
      </c>
      <c r="M59" s="3">
        <f t="shared" si="4"/>
        <v>0.2107352107352107</v>
      </c>
      <c r="N59" s="3">
        <f t="shared" si="5"/>
        <v>0.31610281610281604</v>
      </c>
      <c r="O59">
        <v>0.51400000000000001</v>
      </c>
      <c r="P59" s="5">
        <f t="shared" si="3"/>
        <v>30.749301177316735</v>
      </c>
    </row>
    <row r="60" spans="11:16" x14ac:dyDescent="0.2">
      <c r="K60" s="45">
        <v>55</v>
      </c>
      <c r="L60">
        <v>0.153</v>
      </c>
      <c r="M60" s="3">
        <f t="shared" si="4"/>
        <v>0.17293517293517294</v>
      </c>
      <c r="N60" s="3">
        <f t="shared" si="5"/>
        <v>0.25940275940275942</v>
      </c>
      <c r="O60">
        <v>0.53600000000000003</v>
      </c>
      <c r="P60" s="5">
        <f t="shared" si="3"/>
        <v>24.198018601003675</v>
      </c>
    </row>
    <row r="61" spans="11:16" x14ac:dyDescent="0.2">
      <c r="K61" s="45">
        <v>56</v>
      </c>
      <c r="L61">
        <v>0.14899999999999999</v>
      </c>
      <c r="M61" s="3">
        <f t="shared" si="4"/>
        <v>0.16537516537516536</v>
      </c>
      <c r="N61" s="3">
        <f t="shared" si="5"/>
        <v>0.24806274806274803</v>
      </c>
      <c r="O61">
        <v>0.504</v>
      </c>
      <c r="P61" s="5">
        <f t="shared" si="3"/>
        <v>24.609399609399606</v>
      </c>
    </row>
    <row r="62" spans="11:16" x14ac:dyDescent="0.2">
      <c r="K62" s="45">
        <v>57</v>
      </c>
      <c r="L62">
        <v>0.17100000000000001</v>
      </c>
      <c r="M62" s="3">
        <f t="shared" si="4"/>
        <v>0.20695520695520697</v>
      </c>
      <c r="N62" s="3">
        <f t="shared" si="5"/>
        <v>0.31043281043281046</v>
      </c>
      <c r="O62">
        <v>0.54500000000000004</v>
      </c>
      <c r="P62" s="5">
        <f t="shared" si="3"/>
        <v>28.480074351633984</v>
      </c>
    </row>
    <row r="63" spans="11:16" x14ac:dyDescent="0.2">
      <c r="K63" s="45">
        <v>58</v>
      </c>
      <c r="L63">
        <v>0.17399999999999999</v>
      </c>
      <c r="M63" s="3">
        <f t="shared" si="4"/>
        <v>0.21262521262521261</v>
      </c>
      <c r="N63" s="3">
        <f t="shared" si="5"/>
        <v>0.31893781893781892</v>
      </c>
      <c r="O63">
        <v>0.52800000000000002</v>
      </c>
      <c r="P63" s="5">
        <f t="shared" si="3"/>
        <v>30.202444975172245</v>
      </c>
    </row>
    <row r="64" spans="11:16" x14ac:dyDescent="0.2">
      <c r="K64" s="45">
        <v>59</v>
      </c>
      <c r="L64">
        <v>0.152</v>
      </c>
      <c r="M64" s="3">
        <f t="shared" si="4"/>
        <v>0.17104517104517103</v>
      </c>
      <c r="N64" s="3">
        <f t="shared" si="5"/>
        <v>0.25656775656775654</v>
      </c>
      <c r="O64">
        <v>0.52</v>
      </c>
      <c r="P64" s="5">
        <f t="shared" si="3"/>
        <v>24.669976593053512</v>
      </c>
    </row>
    <row r="65" spans="11:16" x14ac:dyDescent="0.2">
      <c r="K65" s="45">
        <v>60</v>
      </c>
      <c r="L65">
        <v>0.14599999999999999</v>
      </c>
      <c r="M65" s="3">
        <f t="shared" si="4"/>
        <v>0.15970515970515969</v>
      </c>
      <c r="N65" s="3">
        <f t="shared" si="5"/>
        <v>0.23955773955773954</v>
      </c>
      <c r="O65">
        <v>0.52900000000000003</v>
      </c>
      <c r="P65" s="5">
        <f t="shared" si="3"/>
        <v>22.6425084648147</v>
      </c>
    </row>
    <row r="66" spans="11:16" x14ac:dyDescent="0.2">
      <c r="L6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83"/>
  <sheetViews>
    <sheetView topLeftCell="A22" workbookViewId="0">
      <selection activeCell="A36" sqref="A36:M83"/>
    </sheetView>
  </sheetViews>
  <sheetFormatPr baseColWidth="10" defaultColWidth="8.83203125" defaultRowHeight="15" x14ac:dyDescent="0.2"/>
  <sheetData>
    <row r="2" spans="1:13" x14ac:dyDescent="0.2">
      <c r="A2" t="s">
        <v>43</v>
      </c>
    </row>
    <row r="4" spans="1:13" x14ac:dyDescent="0.2">
      <c r="B4">
        <v>1</v>
      </c>
      <c r="C4">
        <v>2</v>
      </c>
      <c r="D4">
        <v>3</v>
      </c>
      <c r="E4">
        <v>4</v>
      </c>
      <c r="F4">
        <v>5</v>
      </c>
      <c r="G4">
        <v>6</v>
      </c>
      <c r="H4">
        <v>7</v>
      </c>
      <c r="I4">
        <v>8</v>
      </c>
      <c r="J4">
        <v>9</v>
      </c>
      <c r="K4">
        <v>10</v>
      </c>
      <c r="L4">
        <v>11</v>
      </c>
      <c r="M4">
        <v>12</v>
      </c>
    </row>
    <row r="5" spans="1:13" x14ac:dyDescent="0.2">
      <c r="A5" t="s">
        <v>35</v>
      </c>
      <c r="B5" t="s">
        <v>20</v>
      </c>
      <c r="C5" t="s">
        <v>20</v>
      </c>
      <c r="D5" t="s">
        <v>21</v>
      </c>
      <c r="E5" t="s">
        <v>21</v>
      </c>
      <c r="F5" t="s">
        <v>22</v>
      </c>
      <c r="G5" t="s">
        <v>22</v>
      </c>
      <c r="H5" t="s">
        <v>23</v>
      </c>
      <c r="I5" t="s">
        <v>23</v>
      </c>
      <c r="J5" t="s">
        <v>24</v>
      </c>
      <c r="K5" t="s">
        <v>24</v>
      </c>
      <c r="L5" t="s">
        <v>25</v>
      </c>
      <c r="M5" t="s">
        <v>25</v>
      </c>
    </row>
    <row r="6" spans="1:13" x14ac:dyDescent="0.2">
      <c r="A6" t="s">
        <v>36</v>
      </c>
      <c r="B6" t="s">
        <v>26</v>
      </c>
      <c r="C6" t="s">
        <v>26</v>
      </c>
      <c r="D6" t="s">
        <v>27</v>
      </c>
      <c r="E6" t="s">
        <v>27</v>
      </c>
      <c r="F6" t="s">
        <v>28</v>
      </c>
      <c r="G6" t="s">
        <v>28</v>
      </c>
      <c r="H6" t="s">
        <v>29</v>
      </c>
      <c r="I6" t="s">
        <v>29</v>
      </c>
      <c r="J6">
        <v>0</v>
      </c>
      <c r="K6">
        <v>0</v>
      </c>
      <c r="L6">
        <v>0</v>
      </c>
      <c r="M6">
        <v>0</v>
      </c>
    </row>
    <row r="7" spans="1:13" x14ac:dyDescent="0.2">
      <c r="A7" t="s">
        <v>37</v>
      </c>
      <c r="B7">
        <v>0</v>
      </c>
      <c r="C7">
        <v>0</v>
      </c>
      <c r="D7">
        <v>0</v>
      </c>
      <c r="E7">
        <v>0</v>
      </c>
      <c r="F7">
        <v>0</v>
      </c>
      <c r="G7">
        <v>0</v>
      </c>
      <c r="H7">
        <v>0</v>
      </c>
      <c r="I7">
        <v>0</v>
      </c>
      <c r="J7">
        <v>0</v>
      </c>
      <c r="K7">
        <v>0</v>
      </c>
      <c r="L7">
        <v>0</v>
      </c>
      <c r="M7">
        <v>0</v>
      </c>
    </row>
    <row r="8" spans="1:13" x14ac:dyDescent="0.2">
      <c r="A8" t="s">
        <v>38</v>
      </c>
      <c r="B8">
        <v>15</v>
      </c>
      <c r="C8">
        <v>15</v>
      </c>
      <c r="D8">
        <v>30</v>
      </c>
      <c r="E8">
        <v>30</v>
      </c>
      <c r="F8">
        <v>45</v>
      </c>
      <c r="G8">
        <v>45</v>
      </c>
      <c r="H8">
        <v>60</v>
      </c>
      <c r="I8">
        <v>60</v>
      </c>
      <c r="J8">
        <v>75</v>
      </c>
      <c r="K8">
        <v>75</v>
      </c>
      <c r="L8">
        <v>90</v>
      </c>
      <c r="M8">
        <v>90</v>
      </c>
    </row>
    <row r="9" spans="1:13" x14ac:dyDescent="0.2">
      <c r="A9" t="s">
        <v>39</v>
      </c>
      <c r="B9">
        <v>105</v>
      </c>
      <c r="C9">
        <v>105</v>
      </c>
      <c r="D9">
        <v>120</v>
      </c>
      <c r="E9">
        <v>120</v>
      </c>
      <c r="F9">
        <v>135</v>
      </c>
      <c r="G9">
        <v>135</v>
      </c>
      <c r="H9">
        <v>150</v>
      </c>
      <c r="I9">
        <v>150</v>
      </c>
      <c r="J9">
        <v>165</v>
      </c>
      <c r="K9">
        <v>165</v>
      </c>
      <c r="L9">
        <v>180</v>
      </c>
      <c r="M9">
        <v>180</v>
      </c>
    </row>
    <row r="10" spans="1:13" x14ac:dyDescent="0.2">
      <c r="A10" t="s">
        <v>40</v>
      </c>
      <c r="B10">
        <v>195</v>
      </c>
      <c r="C10">
        <v>195</v>
      </c>
      <c r="D10">
        <v>210</v>
      </c>
      <c r="E10">
        <v>210</v>
      </c>
      <c r="F10">
        <v>225</v>
      </c>
      <c r="G10">
        <v>225</v>
      </c>
      <c r="H10">
        <v>240</v>
      </c>
      <c r="I10">
        <v>240</v>
      </c>
      <c r="J10">
        <v>255</v>
      </c>
      <c r="K10">
        <v>255</v>
      </c>
      <c r="L10">
        <v>270</v>
      </c>
      <c r="M10">
        <v>270</v>
      </c>
    </row>
    <row r="11" spans="1:13" x14ac:dyDescent="0.2">
      <c r="A11" t="s">
        <v>41</v>
      </c>
      <c r="B11">
        <v>285</v>
      </c>
      <c r="C11">
        <v>285</v>
      </c>
      <c r="D11">
        <v>300</v>
      </c>
      <c r="E11">
        <v>300</v>
      </c>
      <c r="F11" t="s">
        <v>30</v>
      </c>
      <c r="G11" t="s">
        <v>30</v>
      </c>
      <c r="H11" t="s">
        <v>31</v>
      </c>
      <c r="I11" t="s">
        <v>31</v>
      </c>
      <c r="J11" t="s">
        <v>32</v>
      </c>
      <c r="K11" t="s">
        <v>32</v>
      </c>
      <c r="L11" t="s">
        <v>33</v>
      </c>
      <c r="M11" t="s">
        <v>33</v>
      </c>
    </row>
    <row r="12" spans="1:13" x14ac:dyDescent="0.2">
      <c r="A12" t="s">
        <v>42</v>
      </c>
      <c r="B12" t="s">
        <v>34</v>
      </c>
      <c r="C12" t="s">
        <v>34</v>
      </c>
      <c r="D12">
        <v>0</v>
      </c>
      <c r="E12">
        <v>0</v>
      </c>
      <c r="F12">
        <v>0</v>
      </c>
      <c r="G12">
        <v>0</v>
      </c>
      <c r="H12">
        <v>0</v>
      </c>
      <c r="I12">
        <v>0</v>
      </c>
      <c r="J12">
        <v>0</v>
      </c>
      <c r="K12">
        <v>0</v>
      </c>
      <c r="L12">
        <v>0</v>
      </c>
      <c r="M12">
        <v>0</v>
      </c>
    </row>
    <row r="14" spans="1:13" x14ac:dyDescent="0.2">
      <c r="A14" s="9" t="s">
        <v>55</v>
      </c>
    </row>
    <row r="15" spans="1:13" x14ac:dyDescent="0.2">
      <c r="B15">
        <v>1</v>
      </c>
      <c r="C15">
        <v>2</v>
      </c>
      <c r="D15">
        <v>3</v>
      </c>
      <c r="E15">
        <v>4</v>
      </c>
      <c r="F15">
        <v>5</v>
      </c>
      <c r="G15">
        <v>6</v>
      </c>
      <c r="H15">
        <v>7</v>
      </c>
      <c r="I15">
        <v>8</v>
      </c>
      <c r="J15">
        <v>9</v>
      </c>
      <c r="K15">
        <v>10</v>
      </c>
      <c r="L15">
        <v>11</v>
      </c>
      <c r="M15">
        <v>12</v>
      </c>
    </row>
    <row r="16" spans="1:13" x14ac:dyDescent="0.2">
      <c r="A16" t="s">
        <v>35</v>
      </c>
      <c r="B16">
        <v>0.12429999999999999</v>
      </c>
      <c r="C16">
        <v>0.1298</v>
      </c>
      <c r="D16">
        <v>0.13139999999999999</v>
      </c>
      <c r="E16">
        <v>0.1333</v>
      </c>
      <c r="F16">
        <v>0.17219999999999999</v>
      </c>
      <c r="G16">
        <v>0.17199999999999999</v>
      </c>
      <c r="H16">
        <v>0.21579999999999999</v>
      </c>
      <c r="I16">
        <v>0.2152</v>
      </c>
      <c r="J16">
        <v>0.2969</v>
      </c>
      <c r="K16">
        <v>0.30740000000000001</v>
      </c>
      <c r="L16">
        <v>0.46179999999999999</v>
      </c>
      <c r="M16">
        <v>0.47399999999999998</v>
      </c>
    </row>
    <row r="17" spans="1:13" x14ac:dyDescent="0.2">
      <c r="A17" t="s">
        <v>36</v>
      </c>
      <c r="B17">
        <v>0.63019999999999998</v>
      </c>
      <c r="C17">
        <v>0.66949999999999998</v>
      </c>
      <c r="D17">
        <v>0.92020000000000002</v>
      </c>
      <c r="E17">
        <v>0.92659999999999998</v>
      </c>
      <c r="F17">
        <v>1.6045</v>
      </c>
      <c r="G17">
        <v>1.5620000000000001</v>
      </c>
      <c r="H17">
        <v>2.5291999999999999</v>
      </c>
      <c r="I17">
        <v>2.5303</v>
      </c>
      <c r="J17">
        <v>0.1208</v>
      </c>
      <c r="K17">
        <v>0.1231</v>
      </c>
      <c r="L17">
        <v>0.10630000000000001</v>
      </c>
      <c r="M17">
        <v>0.1258</v>
      </c>
    </row>
    <row r="18" spans="1:13" x14ac:dyDescent="0.2">
      <c r="A18" t="s">
        <v>37</v>
      </c>
      <c r="B18">
        <v>0.1162</v>
      </c>
      <c r="C18">
        <v>0.1212</v>
      </c>
      <c r="D18">
        <v>0.11700000000000001</v>
      </c>
      <c r="E18">
        <v>0.11509999999999999</v>
      </c>
      <c r="F18">
        <v>0.11559999999999999</v>
      </c>
      <c r="G18">
        <v>0.1174</v>
      </c>
      <c r="H18">
        <v>0.13120000000000001</v>
      </c>
      <c r="I18">
        <v>0.11990000000000001</v>
      </c>
      <c r="J18">
        <v>0.11749999999999999</v>
      </c>
      <c r="K18">
        <v>0.12139999999999999</v>
      </c>
      <c r="L18">
        <v>0.1053</v>
      </c>
      <c r="M18">
        <v>0.1095</v>
      </c>
    </row>
    <row r="19" spans="1:13" x14ac:dyDescent="0.2">
      <c r="A19" t="s">
        <v>38</v>
      </c>
      <c r="B19">
        <v>1.1763999999999999</v>
      </c>
      <c r="C19">
        <v>1.2076</v>
      </c>
      <c r="D19">
        <v>1.7481</v>
      </c>
      <c r="E19">
        <v>1.7798</v>
      </c>
      <c r="F19">
        <v>2.2301000000000002</v>
      </c>
      <c r="G19">
        <v>2.1760000000000002</v>
      </c>
      <c r="H19">
        <v>1.9314</v>
      </c>
      <c r="I19">
        <v>1.8864000000000001</v>
      </c>
      <c r="J19">
        <v>2.4878999999999998</v>
      </c>
      <c r="K19">
        <v>2.4872999999999998</v>
      </c>
      <c r="L19">
        <v>2.2201</v>
      </c>
      <c r="M19">
        <v>2.5057</v>
      </c>
    </row>
    <row r="20" spans="1:13" x14ac:dyDescent="0.2">
      <c r="A20" t="s">
        <v>39</v>
      </c>
      <c r="B20">
        <v>2.6642999999999999</v>
      </c>
      <c r="C20">
        <v>2.6905999999999999</v>
      </c>
      <c r="D20">
        <v>2.7103999999999999</v>
      </c>
      <c r="E20">
        <v>2.7033999999999998</v>
      </c>
      <c r="F20">
        <v>2.7092999999999998</v>
      </c>
      <c r="G20">
        <v>2.5928</v>
      </c>
      <c r="H20">
        <v>2.4094000000000002</v>
      </c>
      <c r="I20">
        <v>2.5777999999999999</v>
      </c>
      <c r="J20">
        <v>2.5148000000000001</v>
      </c>
      <c r="K20">
        <v>2.4855999999999998</v>
      </c>
      <c r="L20">
        <v>2.1766999999999999</v>
      </c>
      <c r="M20">
        <v>1.9815</v>
      </c>
    </row>
    <row r="21" spans="1:13" x14ac:dyDescent="0.2">
      <c r="A21" t="s">
        <v>40</v>
      </c>
      <c r="B21">
        <v>2.3317000000000001</v>
      </c>
      <c r="C21">
        <v>2.2572000000000001</v>
      </c>
      <c r="D21">
        <v>2.3477999999999999</v>
      </c>
      <c r="E21">
        <v>2.3597000000000001</v>
      </c>
      <c r="F21">
        <v>2.0899000000000001</v>
      </c>
      <c r="G21">
        <v>2.0767000000000002</v>
      </c>
      <c r="H21">
        <v>2.1118000000000001</v>
      </c>
      <c r="I21">
        <v>2.1274000000000002</v>
      </c>
      <c r="J21">
        <v>1.8383</v>
      </c>
      <c r="K21">
        <v>0.81489999999999996</v>
      </c>
      <c r="L21">
        <v>1.8549</v>
      </c>
      <c r="M21">
        <v>1.4899</v>
      </c>
    </row>
    <row r="22" spans="1:13" x14ac:dyDescent="0.2">
      <c r="A22" t="s">
        <v>41</v>
      </c>
      <c r="B22">
        <v>1.7604</v>
      </c>
      <c r="C22">
        <v>1.8557999999999999</v>
      </c>
      <c r="D22">
        <v>1.4426000000000001</v>
      </c>
      <c r="E22">
        <v>2.5983999999999998</v>
      </c>
      <c r="F22">
        <v>0.91659999999999997</v>
      </c>
      <c r="G22">
        <v>0.95809999999999995</v>
      </c>
      <c r="H22">
        <v>0.97650000000000003</v>
      </c>
      <c r="I22">
        <v>0.96830000000000005</v>
      </c>
      <c r="J22">
        <v>0.98860000000000003</v>
      </c>
      <c r="K22">
        <v>0.99029999999999996</v>
      </c>
      <c r="L22">
        <v>0.97840000000000005</v>
      </c>
      <c r="M22">
        <v>0.996</v>
      </c>
    </row>
    <row r="23" spans="1:13" x14ac:dyDescent="0.2">
      <c r="A23" t="s">
        <v>42</v>
      </c>
      <c r="B23">
        <v>0.1263</v>
      </c>
      <c r="C23">
        <v>0.13170000000000001</v>
      </c>
      <c r="D23">
        <v>0.1159</v>
      </c>
      <c r="E23">
        <v>0.1183</v>
      </c>
      <c r="F23">
        <v>0.11840000000000001</v>
      </c>
      <c r="G23">
        <v>0.1198</v>
      </c>
      <c r="H23">
        <v>0.1183</v>
      </c>
      <c r="I23">
        <v>0.12230000000000001</v>
      </c>
      <c r="J23">
        <v>0.13020000000000001</v>
      </c>
      <c r="K23">
        <v>0.12180000000000001</v>
      </c>
      <c r="L23">
        <v>0.11210000000000001</v>
      </c>
      <c r="M23">
        <v>0.112</v>
      </c>
    </row>
    <row r="25" spans="1:13" x14ac:dyDescent="0.2">
      <c r="A25" s="9" t="s">
        <v>56</v>
      </c>
    </row>
    <row r="26" spans="1:13" x14ac:dyDescent="0.2">
      <c r="B26">
        <v>5.1999999999999998E-2</v>
      </c>
      <c r="C26">
        <v>5.1999999999999998E-2</v>
      </c>
      <c r="D26">
        <v>5.6000000000000001E-2</v>
      </c>
      <c r="E26">
        <v>5.6000000000000001E-2</v>
      </c>
      <c r="F26">
        <v>6.8000000000000005E-2</v>
      </c>
      <c r="G26">
        <v>7.0999999999999994E-2</v>
      </c>
      <c r="H26">
        <v>8.6999999999999994E-2</v>
      </c>
      <c r="I26">
        <v>8.5000000000000006E-2</v>
      </c>
      <c r="J26">
        <v>0.11600000000000001</v>
      </c>
      <c r="K26">
        <v>0.115</v>
      </c>
      <c r="L26">
        <v>0.17899999999999999</v>
      </c>
      <c r="M26">
        <v>0.17799999999999999</v>
      </c>
    </row>
    <row r="27" spans="1:13" x14ac:dyDescent="0.2">
      <c r="B27">
        <v>0.24199999999999999</v>
      </c>
      <c r="C27">
        <v>0.249</v>
      </c>
      <c r="D27">
        <v>0.34100000000000003</v>
      </c>
      <c r="E27">
        <v>0.33800000000000002</v>
      </c>
      <c r="F27">
        <v>0.64200000000000002</v>
      </c>
      <c r="G27">
        <v>0.67700000000000005</v>
      </c>
      <c r="H27">
        <v>1.3180000000000001</v>
      </c>
      <c r="I27">
        <v>1.3560000000000001</v>
      </c>
      <c r="J27">
        <v>5.5E-2</v>
      </c>
      <c r="K27">
        <v>5.3999999999999999E-2</v>
      </c>
      <c r="L27">
        <v>5.3999999999999999E-2</v>
      </c>
      <c r="M27">
        <v>5.3999999999999999E-2</v>
      </c>
    </row>
    <row r="28" spans="1:13" x14ac:dyDescent="0.2">
      <c r="B28">
        <v>5.2999999999999999E-2</v>
      </c>
      <c r="C28">
        <v>5.5E-2</v>
      </c>
      <c r="D28">
        <v>5.3999999999999999E-2</v>
      </c>
      <c r="E28">
        <v>5.5E-2</v>
      </c>
      <c r="F28">
        <v>5.5E-2</v>
      </c>
      <c r="G28">
        <v>5.7000000000000002E-2</v>
      </c>
      <c r="H28">
        <v>5.7000000000000002E-2</v>
      </c>
      <c r="I28">
        <v>5.7000000000000002E-2</v>
      </c>
      <c r="J28">
        <v>5.5E-2</v>
      </c>
      <c r="K28">
        <v>5.5E-2</v>
      </c>
      <c r="L28">
        <v>5.5E-2</v>
      </c>
      <c r="M28">
        <v>5.2999999999999999E-2</v>
      </c>
    </row>
    <row r="29" spans="1:13" x14ac:dyDescent="0.2">
      <c r="B29">
        <v>0.24</v>
      </c>
      <c r="C29">
        <v>0.24</v>
      </c>
      <c r="D29">
        <v>0.42799999999999999</v>
      </c>
      <c r="E29">
        <v>0.42899999999999999</v>
      </c>
      <c r="F29">
        <v>0.63500000000000001</v>
      </c>
      <c r="G29">
        <v>0.60199999999999998</v>
      </c>
      <c r="H29">
        <v>0.59899999999999998</v>
      </c>
      <c r="I29">
        <v>0.59099999999999997</v>
      </c>
      <c r="J29">
        <v>0.78600000000000003</v>
      </c>
      <c r="K29">
        <v>0.71099999999999997</v>
      </c>
      <c r="L29">
        <v>0.80700000000000005</v>
      </c>
      <c r="M29">
        <v>0.80600000000000005</v>
      </c>
    </row>
    <row r="30" spans="1:13" x14ac:dyDescent="0.2">
      <c r="B30">
        <v>0.97699999999999998</v>
      </c>
      <c r="C30">
        <v>0.997</v>
      </c>
      <c r="D30">
        <v>1.1850000000000001</v>
      </c>
      <c r="E30">
        <v>1.2889999999999999</v>
      </c>
      <c r="F30">
        <v>1.726</v>
      </c>
      <c r="G30">
        <v>1.36</v>
      </c>
      <c r="H30">
        <v>1.4279999999999999</v>
      </c>
      <c r="I30">
        <v>1.423</v>
      </c>
      <c r="J30">
        <v>1.581</v>
      </c>
      <c r="K30">
        <v>1.6160000000000001</v>
      </c>
      <c r="L30">
        <v>1.877</v>
      </c>
      <c r="M30">
        <v>1.74</v>
      </c>
    </row>
    <row r="31" spans="1:13" x14ac:dyDescent="0.2">
      <c r="B31">
        <v>1.58</v>
      </c>
      <c r="C31">
        <v>1.7549999999999999</v>
      </c>
      <c r="D31">
        <v>2.0139999999999998</v>
      </c>
      <c r="E31">
        <v>1.931</v>
      </c>
      <c r="F31">
        <v>2.1589999999999998</v>
      </c>
      <c r="G31">
        <v>2.1989999999999998</v>
      </c>
      <c r="H31">
        <v>2.1709999999999998</v>
      </c>
      <c r="I31">
        <v>2.117</v>
      </c>
      <c r="J31">
        <v>2.3919999999999999</v>
      </c>
      <c r="K31">
        <v>2.7189999999999999</v>
      </c>
      <c r="L31">
        <v>2.3839999999999999</v>
      </c>
      <c r="M31">
        <v>2.028</v>
      </c>
    </row>
    <row r="32" spans="1:13" x14ac:dyDescent="0.2">
      <c r="B32">
        <v>2.1459999999999999</v>
      </c>
      <c r="C32">
        <v>2.484</v>
      </c>
      <c r="D32">
        <v>2.8690000000000002</v>
      </c>
      <c r="E32">
        <v>2.8919999999999999</v>
      </c>
      <c r="F32">
        <v>0.11899999999999999</v>
      </c>
      <c r="G32">
        <v>0.109</v>
      </c>
      <c r="H32">
        <v>0.113</v>
      </c>
      <c r="I32">
        <v>0.114</v>
      </c>
      <c r="J32">
        <v>0.10299999999999999</v>
      </c>
      <c r="K32">
        <v>0.111</v>
      </c>
      <c r="L32">
        <v>0.11700000000000001</v>
      </c>
      <c r="M32">
        <v>0.114</v>
      </c>
    </row>
    <row r="33" spans="1:13" x14ac:dyDescent="0.2">
      <c r="B33">
        <v>0.11</v>
      </c>
      <c r="C33">
        <v>0.114</v>
      </c>
      <c r="D33">
        <v>6.4000000000000001E-2</v>
      </c>
      <c r="E33">
        <v>6.6000000000000003E-2</v>
      </c>
      <c r="F33">
        <v>5.6000000000000001E-2</v>
      </c>
      <c r="G33">
        <v>5.6000000000000001E-2</v>
      </c>
      <c r="H33">
        <v>5.5E-2</v>
      </c>
      <c r="I33">
        <v>6.2E-2</v>
      </c>
      <c r="J33">
        <v>5.8000000000000003E-2</v>
      </c>
      <c r="K33">
        <v>5.6000000000000001E-2</v>
      </c>
      <c r="L33">
        <v>5.6000000000000001E-2</v>
      </c>
      <c r="M33">
        <v>5.7000000000000002E-2</v>
      </c>
    </row>
    <row r="38" spans="1:13" x14ac:dyDescent="0.2">
      <c r="A38" s="1">
        <v>42179</v>
      </c>
    </row>
    <row r="39" spans="1:13" x14ac:dyDescent="0.2">
      <c r="A39" t="s">
        <v>118</v>
      </c>
    </row>
    <row r="40" spans="1:13" x14ac:dyDescent="0.2">
      <c r="A40" t="s">
        <v>101</v>
      </c>
    </row>
    <row r="41" spans="1:13" x14ac:dyDescent="0.2">
      <c r="B41">
        <v>1</v>
      </c>
      <c r="C41">
        <v>2</v>
      </c>
      <c r="D41">
        <v>3</v>
      </c>
      <c r="E41">
        <v>4</v>
      </c>
      <c r="F41">
        <v>5</v>
      </c>
      <c r="G41">
        <v>6</v>
      </c>
      <c r="H41">
        <v>7</v>
      </c>
      <c r="I41">
        <v>8</v>
      </c>
      <c r="J41">
        <v>9</v>
      </c>
      <c r="K41">
        <v>10</v>
      </c>
      <c r="L41">
        <v>11</v>
      </c>
      <c r="M41">
        <v>12</v>
      </c>
    </row>
    <row r="42" spans="1:13" x14ac:dyDescent="0.2">
      <c r="A42" t="s">
        <v>35</v>
      </c>
      <c r="B42" t="s">
        <v>102</v>
      </c>
      <c r="C42" t="s">
        <v>102</v>
      </c>
      <c r="D42" t="s">
        <v>106</v>
      </c>
      <c r="E42" t="s">
        <v>106</v>
      </c>
      <c r="F42" t="s">
        <v>107</v>
      </c>
      <c r="G42" t="s">
        <v>107</v>
      </c>
      <c r="H42" t="s">
        <v>108</v>
      </c>
      <c r="I42" t="s">
        <v>108</v>
      </c>
      <c r="J42" t="s">
        <v>113</v>
      </c>
      <c r="K42" t="s">
        <v>113</v>
      </c>
      <c r="L42" t="s">
        <v>114</v>
      </c>
      <c r="M42" t="s">
        <v>114</v>
      </c>
    </row>
    <row r="43" spans="1:13" x14ac:dyDescent="0.2">
      <c r="A43" t="s">
        <v>36</v>
      </c>
      <c r="B43" t="s">
        <v>115</v>
      </c>
      <c r="C43" t="s">
        <v>115</v>
      </c>
      <c r="D43" t="s">
        <v>116</v>
      </c>
      <c r="E43" t="s">
        <v>116</v>
      </c>
      <c r="F43" t="s">
        <v>117</v>
      </c>
      <c r="G43" t="s">
        <v>117</v>
      </c>
      <c r="H43">
        <v>1</v>
      </c>
      <c r="I43">
        <v>1</v>
      </c>
      <c r="J43">
        <v>2</v>
      </c>
      <c r="K43">
        <v>2</v>
      </c>
      <c r="L43">
        <v>3</v>
      </c>
      <c r="M43">
        <v>3</v>
      </c>
    </row>
    <row r="44" spans="1:13" x14ac:dyDescent="0.2">
      <c r="A44" t="s">
        <v>37</v>
      </c>
      <c r="B44">
        <v>4</v>
      </c>
      <c r="C44">
        <v>4</v>
      </c>
      <c r="D44">
        <v>5</v>
      </c>
      <c r="E44">
        <v>5</v>
      </c>
      <c r="F44">
        <v>6</v>
      </c>
      <c r="G44">
        <v>6</v>
      </c>
      <c r="H44">
        <v>7</v>
      </c>
      <c r="I44">
        <v>7</v>
      </c>
      <c r="J44">
        <v>8</v>
      </c>
      <c r="K44">
        <v>8</v>
      </c>
      <c r="L44">
        <v>9</v>
      </c>
      <c r="M44">
        <v>9</v>
      </c>
    </row>
    <row r="45" spans="1:13" x14ac:dyDescent="0.2">
      <c r="A45" t="s">
        <v>38</v>
      </c>
      <c r="B45">
        <v>10</v>
      </c>
      <c r="C45">
        <v>10</v>
      </c>
      <c r="D45">
        <v>11</v>
      </c>
      <c r="E45">
        <v>11</v>
      </c>
      <c r="F45">
        <v>12</v>
      </c>
      <c r="G45">
        <v>12</v>
      </c>
      <c r="H45">
        <v>13</v>
      </c>
      <c r="I45">
        <v>13</v>
      </c>
      <c r="J45">
        <v>14</v>
      </c>
      <c r="K45">
        <v>14</v>
      </c>
      <c r="L45">
        <v>15</v>
      </c>
      <c r="M45">
        <v>15</v>
      </c>
    </row>
    <row r="46" spans="1:13" x14ac:dyDescent="0.2">
      <c r="A46" t="s">
        <v>39</v>
      </c>
      <c r="B46">
        <v>16</v>
      </c>
      <c r="C46">
        <v>16</v>
      </c>
      <c r="D46">
        <v>17</v>
      </c>
      <c r="E46">
        <v>17</v>
      </c>
      <c r="F46">
        <v>18</v>
      </c>
      <c r="G46">
        <v>18</v>
      </c>
      <c r="H46">
        <v>19</v>
      </c>
      <c r="I46">
        <v>19</v>
      </c>
      <c r="J46">
        <v>20</v>
      </c>
      <c r="K46">
        <v>20</v>
      </c>
      <c r="L46">
        <v>21</v>
      </c>
      <c r="M46">
        <v>21</v>
      </c>
    </row>
    <row r="47" spans="1:13" x14ac:dyDescent="0.2">
      <c r="A47" t="s">
        <v>40</v>
      </c>
      <c r="B47">
        <v>22</v>
      </c>
      <c r="C47">
        <v>22</v>
      </c>
      <c r="D47">
        <v>23</v>
      </c>
      <c r="E47">
        <v>23</v>
      </c>
      <c r="F47">
        <v>24</v>
      </c>
      <c r="G47">
        <v>24</v>
      </c>
      <c r="H47">
        <v>25</v>
      </c>
      <c r="I47">
        <v>25</v>
      </c>
      <c r="J47">
        <v>26</v>
      </c>
      <c r="K47">
        <v>26</v>
      </c>
      <c r="L47">
        <v>27</v>
      </c>
      <c r="M47">
        <v>27</v>
      </c>
    </row>
    <row r="48" spans="1:13" x14ac:dyDescent="0.2">
      <c r="A48" t="s">
        <v>41</v>
      </c>
      <c r="B48">
        <v>28</v>
      </c>
      <c r="C48">
        <v>28</v>
      </c>
      <c r="D48">
        <v>29</v>
      </c>
      <c r="E48">
        <v>29</v>
      </c>
      <c r="F48">
        <v>30</v>
      </c>
      <c r="G48">
        <v>30</v>
      </c>
      <c r="H48">
        <v>31</v>
      </c>
      <c r="I48">
        <v>31</v>
      </c>
      <c r="J48">
        <v>32</v>
      </c>
      <c r="K48">
        <v>32</v>
      </c>
      <c r="L48">
        <v>33</v>
      </c>
      <c r="M48">
        <v>33</v>
      </c>
    </row>
    <row r="49" spans="1:13" x14ac:dyDescent="0.2">
      <c r="A49" t="s">
        <v>42</v>
      </c>
      <c r="B49">
        <v>34</v>
      </c>
      <c r="C49">
        <v>34</v>
      </c>
      <c r="D49">
        <v>35</v>
      </c>
      <c r="E49">
        <v>35</v>
      </c>
      <c r="F49">
        <v>36</v>
      </c>
      <c r="G49">
        <v>36</v>
      </c>
      <c r="H49">
        <v>37</v>
      </c>
      <c r="I49">
        <v>37</v>
      </c>
      <c r="J49">
        <v>38</v>
      </c>
      <c r="K49">
        <v>38</v>
      </c>
      <c r="L49">
        <v>39</v>
      </c>
      <c r="M49">
        <v>39</v>
      </c>
    </row>
    <row r="50" spans="1:13" x14ac:dyDescent="0.2">
      <c r="A50" t="s">
        <v>111</v>
      </c>
    </row>
    <row r="51" spans="1:13" x14ac:dyDescent="0.2">
      <c r="B51">
        <v>1</v>
      </c>
      <c r="C51">
        <v>2</v>
      </c>
      <c r="D51">
        <v>3</v>
      </c>
      <c r="E51">
        <v>4</v>
      </c>
      <c r="F51">
        <v>5</v>
      </c>
      <c r="G51">
        <v>6</v>
      </c>
      <c r="H51">
        <v>7</v>
      </c>
      <c r="I51">
        <v>8</v>
      </c>
      <c r="J51">
        <v>9</v>
      </c>
      <c r="K51">
        <v>10</v>
      </c>
      <c r="L51">
        <v>11</v>
      </c>
      <c r="M51">
        <v>12</v>
      </c>
    </row>
    <row r="52" spans="1:13" x14ac:dyDescent="0.2">
      <c r="A52" t="s">
        <v>35</v>
      </c>
      <c r="B52">
        <v>40</v>
      </c>
      <c r="C52">
        <v>40</v>
      </c>
      <c r="D52">
        <v>41</v>
      </c>
      <c r="E52">
        <v>41</v>
      </c>
      <c r="F52">
        <v>42</v>
      </c>
      <c r="G52">
        <v>42</v>
      </c>
      <c r="H52">
        <v>43</v>
      </c>
      <c r="I52">
        <v>43</v>
      </c>
      <c r="J52">
        <v>44</v>
      </c>
      <c r="K52">
        <v>44</v>
      </c>
      <c r="L52">
        <v>45</v>
      </c>
      <c r="M52">
        <v>45</v>
      </c>
    </row>
    <row r="53" spans="1:13" x14ac:dyDescent="0.2">
      <c r="A53" t="s">
        <v>36</v>
      </c>
      <c r="B53">
        <v>46</v>
      </c>
      <c r="C53">
        <v>46</v>
      </c>
      <c r="D53">
        <v>47</v>
      </c>
      <c r="E53">
        <v>47</v>
      </c>
      <c r="F53">
        <v>48</v>
      </c>
      <c r="G53">
        <v>48</v>
      </c>
      <c r="H53">
        <v>49</v>
      </c>
      <c r="I53">
        <v>49</v>
      </c>
      <c r="J53">
        <v>50</v>
      </c>
      <c r="K53">
        <v>50</v>
      </c>
      <c r="L53">
        <v>51</v>
      </c>
      <c r="M53">
        <v>51</v>
      </c>
    </row>
    <row r="54" spans="1:13" x14ac:dyDescent="0.2">
      <c r="A54" t="s">
        <v>37</v>
      </c>
      <c r="B54">
        <v>52</v>
      </c>
      <c r="C54">
        <v>52</v>
      </c>
      <c r="D54">
        <v>53</v>
      </c>
      <c r="E54">
        <v>53</v>
      </c>
      <c r="F54">
        <v>54</v>
      </c>
      <c r="G54">
        <v>54</v>
      </c>
      <c r="H54">
        <v>55</v>
      </c>
      <c r="I54">
        <v>55</v>
      </c>
      <c r="J54">
        <v>56</v>
      </c>
      <c r="K54">
        <v>56</v>
      </c>
      <c r="L54">
        <v>57</v>
      </c>
      <c r="M54">
        <v>57</v>
      </c>
    </row>
    <row r="55" spans="1:13" x14ac:dyDescent="0.2">
      <c r="A55" t="s">
        <v>38</v>
      </c>
      <c r="B55">
        <v>58</v>
      </c>
      <c r="C55">
        <v>58</v>
      </c>
      <c r="D55">
        <v>59</v>
      </c>
      <c r="E55">
        <v>59</v>
      </c>
      <c r="F55">
        <v>60</v>
      </c>
      <c r="G55">
        <v>60</v>
      </c>
      <c r="H55">
        <v>0</v>
      </c>
      <c r="I55">
        <v>0</v>
      </c>
      <c r="J55">
        <v>0</v>
      </c>
      <c r="K55">
        <v>0</v>
      </c>
      <c r="L55">
        <v>0</v>
      </c>
      <c r="M55">
        <v>0</v>
      </c>
    </row>
    <row r="56" spans="1:13" x14ac:dyDescent="0.2">
      <c r="A56" t="s">
        <v>39</v>
      </c>
      <c r="B56">
        <v>0</v>
      </c>
      <c r="C56">
        <v>0</v>
      </c>
      <c r="D56">
        <v>0</v>
      </c>
      <c r="E56">
        <v>0</v>
      </c>
      <c r="F56">
        <v>0</v>
      </c>
      <c r="G56">
        <v>0</v>
      </c>
      <c r="H56">
        <v>0</v>
      </c>
      <c r="I56">
        <v>0</v>
      </c>
      <c r="J56">
        <v>0</v>
      </c>
      <c r="K56">
        <v>0</v>
      </c>
      <c r="L56">
        <v>0</v>
      </c>
      <c r="M56">
        <v>0</v>
      </c>
    </row>
    <row r="57" spans="1:13" x14ac:dyDescent="0.2">
      <c r="A57" t="s">
        <v>40</v>
      </c>
      <c r="B57">
        <v>0</v>
      </c>
      <c r="C57">
        <v>0</v>
      </c>
      <c r="D57">
        <v>0</v>
      </c>
      <c r="E57">
        <v>0</v>
      </c>
      <c r="F57">
        <v>0</v>
      </c>
      <c r="G57">
        <v>0</v>
      </c>
      <c r="H57">
        <v>0</v>
      </c>
      <c r="I57">
        <v>0</v>
      </c>
      <c r="J57">
        <v>0</v>
      </c>
      <c r="K57">
        <v>0</v>
      </c>
      <c r="L57">
        <v>0</v>
      </c>
      <c r="M57">
        <v>0</v>
      </c>
    </row>
    <row r="58" spans="1:13" x14ac:dyDescent="0.2">
      <c r="A58" t="s">
        <v>41</v>
      </c>
      <c r="B58">
        <v>0</v>
      </c>
      <c r="C58">
        <v>0</v>
      </c>
      <c r="D58">
        <v>0</v>
      </c>
      <c r="E58">
        <v>0</v>
      </c>
      <c r="F58">
        <v>0</v>
      </c>
      <c r="G58">
        <v>0</v>
      </c>
      <c r="H58">
        <v>0</v>
      </c>
      <c r="I58">
        <v>0</v>
      </c>
      <c r="J58">
        <v>0</v>
      </c>
      <c r="K58">
        <v>0</v>
      </c>
      <c r="L58">
        <v>0</v>
      </c>
      <c r="M58">
        <v>0</v>
      </c>
    </row>
    <row r="59" spans="1:13" x14ac:dyDescent="0.2">
      <c r="A59" t="s">
        <v>42</v>
      </c>
      <c r="B59">
        <v>0</v>
      </c>
      <c r="C59">
        <v>0</v>
      </c>
      <c r="D59">
        <v>0</v>
      </c>
      <c r="E59">
        <v>0</v>
      </c>
      <c r="F59">
        <v>0</v>
      </c>
      <c r="G59">
        <v>0</v>
      </c>
      <c r="H59">
        <v>0</v>
      </c>
      <c r="I59">
        <v>0</v>
      </c>
      <c r="J59">
        <v>0</v>
      </c>
      <c r="K59">
        <v>0</v>
      </c>
      <c r="L59">
        <v>0</v>
      </c>
      <c r="M59">
        <v>0</v>
      </c>
    </row>
    <row r="61" spans="1:13" x14ac:dyDescent="0.2">
      <c r="A61" s="24" t="s">
        <v>119</v>
      </c>
    </row>
    <row r="62" spans="1:13" x14ac:dyDescent="0.2">
      <c r="A62" t="s">
        <v>112</v>
      </c>
    </row>
    <row r="63" spans="1:13" x14ac:dyDescent="0.2">
      <c r="A63" t="s">
        <v>101</v>
      </c>
    </row>
    <row r="64" spans="1:13" x14ac:dyDescent="0.2">
      <c r="B64">
        <v>1</v>
      </c>
      <c r="C64">
        <v>2</v>
      </c>
      <c r="D64">
        <v>3</v>
      </c>
      <c r="E64">
        <v>4</v>
      </c>
      <c r="F64">
        <v>5</v>
      </c>
      <c r="G64">
        <v>6</v>
      </c>
      <c r="H64">
        <v>7</v>
      </c>
      <c r="I64">
        <v>8</v>
      </c>
      <c r="J64">
        <v>9</v>
      </c>
      <c r="K64">
        <v>10</v>
      </c>
      <c r="L64">
        <v>11</v>
      </c>
      <c r="M64">
        <v>12</v>
      </c>
    </row>
    <row r="65" spans="1:13" x14ac:dyDescent="0.2">
      <c r="A65" t="s">
        <v>35</v>
      </c>
      <c r="B65" t="s">
        <v>102</v>
      </c>
      <c r="C65" t="s">
        <v>102</v>
      </c>
      <c r="D65" t="s">
        <v>103</v>
      </c>
      <c r="E65" t="s">
        <v>103</v>
      </c>
      <c r="F65" t="s">
        <v>104</v>
      </c>
      <c r="G65" t="s">
        <v>104</v>
      </c>
      <c r="H65" t="s">
        <v>105</v>
      </c>
      <c r="I65" t="s">
        <v>105</v>
      </c>
      <c r="J65" t="s">
        <v>106</v>
      </c>
      <c r="K65" t="s">
        <v>106</v>
      </c>
      <c r="L65" t="s">
        <v>107</v>
      </c>
      <c r="M65" t="s">
        <v>107</v>
      </c>
    </row>
    <row r="66" spans="1:13" x14ac:dyDescent="0.2">
      <c r="A66" t="s">
        <v>36</v>
      </c>
      <c r="B66" t="s">
        <v>108</v>
      </c>
      <c r="C66" t="s">
        <v>108</v>
      </c>
      <c r="D66" t="s">
        <v>109</v>
      </c>
      <c r="E66" t="s">
        <v>109</v>
      </c>
      <c r="F66" t="s">
        <v>110</v>
      </c>
      <c r="G66" t="s">
        <v>110</v>
      </c>
      <c r="H66">
        <v>1</v>
      </c>
      <c r="I66">
        <v>1</v>
      </c>
      <c r="J66">
        <v>2</v>
      </c>
      <c r="K66">
        <v>2</v>
      </c>
      <c r="L66">
        <v>3</v>
      </c>
      <c r="M66">
        <v>3</v>
      </c>
    </row>
    <row r="67" spans="1:13" x14ac:dyDescent="0.2">
      <c r="A67" t="s">
        <v>37</v>
      </c>
      <c r="B67">
        <v>4</v>
      </c>
      <c r="C67">
        <v>4</v>
      </c>
      <c r="D67">
        <v>5</v>
      </c>
      <c r="E67">
        <v>5</v>
      </c>
      <c r="F67">
        <v>6</v>
      </c>
      <c r="G67">
        <v>6</v>
      </c>
      <c r="H67">
        <v>7</v>
      </c>
      <c r="I67">
        <v>7</v>
      </c>
      <c r="J67">
        <v>8</v>
      </c>
      <c r="K67">
        <v>8</v>
      </c>
      <c r="L67">
        <v>9</v>
      </c>
      <c r="M67">
        <v>9</v>
      </c>
    </row>
    <row r="68" spans="1:13" x14ac:dyDescent="0.2">
      <c r="A68" t="s">
        <v>38</v>
      </c>
      <c r="B68">
        <v>10</v>
      </c>
      <c r="C68">
        <v>10</v>
      </c>
      <c r="D68">
        <v>11</v>
      </c>
      <c r="E68">
        <v>11</v>
      </c>
      <c r="F68">
        <v>12</v>
      </c>
      <c r="G68">
        <v>12</v>
      </c>
      <c r="H68">
        <v>13</v>
      </c>
      <c r="I68">
        <v>13</v>
      </c>
      <c r="J68">
        <v>14</v>
      </c>
      <c r="K68">
        <v>14</v>
      </c>
      <c r="L68">
        <v>15</v>
      </c>
      <c r="M68">
        <v>15</v>
      </c>
    </row>
    <row r="69" spans="1:13" x14ac:dyDescent="0.2">
      <c r="A69" t="s">
        <v>39</v>
      </c>
      <c r="B69">
        <v>16</v>
      </c>
      <c r="C69">
        <v>16</v>
      </c>
      <c r="D69">
        <v>17</v>
      </c>
      <c r="E69">
        <v>17</v>
      </c>
      <c r="F69">
        <v>18</v>
      </c>
      <c r="G69">
        <v>18</v>
      </c>
      <c r="H69">
        <v>19</v>
      </c>
      <c r="I69">
        <v>19</v>
      </c>
      <c r="J69">
        <v>20</v>
      </c>
      <c r="K69">
        <v>20</v>
      </c>
      <c r="L69">
        <v>21</v>
      </c>
      <c r="M69">
        <v>21</v>
      </c>
    </row>
    <row r="70" spans="1:13" x14ac:dyDescent="0.2">
      <c r="A70" t="s">
        <v>40</v>
      </c>
      <c r="B70">
        <v>22</v>
      </c>
      <c r="C70">
        <v>22</v>
      </c>
      <c r="D70">
        <v>23</v>
      </c>
      <c r="E70">
        <v>23</v>
      </c>
      <c r="F70">
        <v>24</v>
      </c>
      <c r="G70">
        <v>24</v>
      </c>
      <c r="H70">
        <v>25</v>
      </c>
      <c r="I70">
        <v>25</v>
      </c>
      <c r="J70">
        <v>26</v>
      </c>
      <c r="K70">
        <v>26</v>
      </c>
      <c r="L70">
        <v>27</v>
      </c>
      <c r="M70">
        <v>27</v>
      </c>
    </row>
    <row r="71" spans="1:13" x14ac:dyDescent="0.2">
      <c r="A71" t="s">
        <v>41</v>
      </c>
      <c r="B71">
        <v>28</v>
      </c>
      <c r="C71">
        <v>28</v>
      </c>
      <c r="D71">
        <v>29</v>
      </c>
      <c r="E71">
        <v>29</v>
      </c>
      <c r="F71">
        <v>30</v>
      </c>
      <c r="G71">
        <v>30</v>
      </c>
      <c r="H71">
        <v>31</v>
      </c>
      <c r="I71">
        <v>31</v>
      </c>
      <c r="J71">
        <v>32</v>
      </c>
      <c r="K71">
        <v>32</v>
      </c>
      <c r="L71">
        <v>33</v>
      </c>
      <c r="M71">
        <v>33</v>
      </c>
    </row>
    <row r="72" spans="1:13" x14ac:dyDescent="0.2">
      <c r="A72" t="s">
        <v>42</v>
      </c>
      <c r="B72">
        <v>34</v>
      </c>
      <c r="C72">
        <v>34</v>
      </c>
      <c r="D72">
        <v>35</v>
      </c>
      <c r="E72">
        <v>35</v>
      </c>
      <c r="F72">
        <v>36</v>
      </c>
      <c r="G72">
        <v>36</v>
      </c>
      <c r="H72">
        <v>37</v>
      </c>
      <c r="I72">
        <v>37</v>
      </c>
      <c r="J72">
        <v>38</v>
      </c>
      <c r="K72">
        <v>38</v>
      </c>
      <c r="L72">
        <v>39</v>
      </c>
      <c r="M72">
        <v>39</v>
      </c>
    </row>
    <row r="74" spans="1:13" x14ac:dyDescent="0.2">
      <c r="A74" t="s">
        <v>111</v>
      </c>
    </row>
    <row r="75" spans="1:13" x14ac:dyDescent="0.2">
      <c r="B75">
        <v>1</v>
      </c>
      <c r="C75">
        <v>2</v>
      </c>
      <c r="D75">
        <v>3</v>
      </c>
      <c r="E75">
        <v>4</v>
      </c>
      <c r="F75">
        <v>5</v>
      </c>
      <c r="G75">
        <v>6</v>
      </c>
      <c r="H75">
        <v>7</v>
      </c>
      <c r="I75">
        <v>8</v>
      </c>
      <c r="J75">
        <v>9</v>
      </c>
      <c r="K75">
        <v>10</v>
      </c>
      <c r="L75">
        <v>11</v>
      </c>
      <c r="M75">
        <v>12</v>
      </c>
    </row>
    <row r="76" spans="1:13" x14ac:dyDescent="0.2">
      <c r="A76" t="s">
        <v>35</v>
      </c>
      <c r="B76">
        <v>40</v>
      </c>
      <c r="C76">
        <v>40</v>
      </c>
      <c r="D76">
        <v>41</v>
      </c>
      <c r="E76">
        <v>41</v>
      </c>
      <c r="F76">
        <v>42</v>
      </c>
      <c r="G76">
        <v>42</v>
      </c>
      <c r="H76">
        <v>43</v>
      </c>
      <c r="I76">
        <v>43</v>
      </c>
      <c r="J76">
        <v>44</v>
      </c>
      <c r="K76">
        <v>44</v>
      </c>
      <c r="L76">
        <v>45</v>
      </c>
      <c r="M76">
        <v>45</v>
      </c>
    </row>
    <row r="77" spans="1:13" x14ac:dyDescent="0.2">
      <c r="A77" t="s">
        <v>36</v>
      </c>
      <c r="B77">
        <v>46</v>
      </c>
      <c r="C77">
        <v>46</v>
      </c>
      <c r="D77">
        <v>47</v>
      </c>
      <c r="E77">
        <v>47</v>
      </c>
      <c r="F77">
        <v>48</v>
      </c>
      <c r="G77">
        <v>48</v>
      </c>
      <c r="H77">
        <v>49</v>
      </c>
      <c r="I77">
        <v>49</v>
      </c>
      <c r="J77">
        <v>50</v>
      </c>
      <c r="K77">
        <v>50</v>
      </c>
      <c r="L77">
        <v>51</v>
      </c>
      <c r="M77">
        <v>51</v>
      </c>
    </row>
    <row r="78" spans="1:13" x14ac:dyDescent="0.2">
      <c r="A78" t="s">
        <v>37</v>
      </c>
      <c r="B78">
        <v>52</v>
      </c>
      <c r="C78">
        <v>52</v>
      </c>
      <c r="D78">
        <v>53</v>
      </c>
      <c r="E78">
        <v>53</v>
      </c>
      <c r="F78">
        <v>54</v>
      </c>
      <c r="G78">
        <v>54</v>
      </c>
      <c r="H78">
        <v>55</v>
      </c>
      <c r="I78">
        <v>55</v>
      </c>
      <c r="J78">
        <v>56</v>
      </c>
      <c r="K78">
        <v>56</v>
      </c>
      <c r="L78">
        <v>57</v>
      </c>
      <c r="M78">
        <v>57</v>
      </c>
    </row>
    <row r="79" spans="1:13" x14ac:dyDescent="0.2">
      <c r="A79" t="s">
        <v>38</v>
      </c>
      <c r="B79">
        <v>58</v>
      </c>
      <c r="C79">
        <v>58</v>
      </c>
      <c r="D79">
        <v>59</v>
      </c>
      <c r="E79">
        <v>59</v>
      </c>
      <c r="F79">
        <v>60</v>
      </c>
      <c r="G79">
        <v>60</v>
      </c>
      <c r="H79">
        <v>0</v>
      </c>
      <c r="I79">
        <v>0</v>
      </c>
      <c r="J79">
        <v>0</v>
      </c>
      <c r="K79">
        <v>0</v>
      </c>
      <c r="L79">
        <v>0</v>
      </c>
      <c r="M79">
        <v>0</v>
      </c>
    </row>
    <row r="80" spans="1:13" x14ac:dyDescent="0.2">
      <c r="A80" t="s">
        <v>39</v>
      </c>
      <c r="B80">
        <v>0</v>
      </c>
      <c r="C80">
        <v>0</v>
      </c>
      <c r="D80">
        <v>0</v>
      </c>
      <c r="E80">
        <v>0</v>
      </c>
      <c r="F80">
        <v>0</v>
      </c>
      <c r="G80">
        <v>0</v>
      </c>
      <c r="H80">
        <v>0</v>
      </c>
      <c r="I80">
        <v>0</v>
      </c>
      <c r="J80">
        <v>0</v>
      </c>
      <c r="K80">
        <v>0</v>
      </c>
      <c r="L80">
        <v>0</v>
      </c>
      <c r="M80">
        <v>0</v>
      </c>
    </row>
    <row r="81" spans="1:13" x14ac:dyDescent="0.2">
      <c r="A81" t="s">
        <v>40</v>
      </c>
      <c r="B81">
        <v>0</v>
      </c>
      <c r="C81">
        <v>0</v>
      </c>
      <c r="D81">
        <v>0</v>
      </c>
      <c r="E81">
        <v>0</v>
      </c>
      <c r="F81">
        <v>0</v>
      </c>
      <c r="G81">
        <v>0</v>
      </c>
      <c r="H81">
        <v>0</v>
      </c>
      <c r="I81">
        <v>0</v>
      </c>
      <c r="J81">
        <v>0</v>
      </c>
      <c r="K81">
        <v>0</v>
      </c>
      <c r="L81">
        <v>0</v>
      </c>
      <c r="M81">
        <v>0</v>
      </c>
    </row>
    <row r="82" spans="1:13" x14ac:dyDescent="0.2">
      <c r="A82" t="s">
        <v>41</v>
      </c>
      <c r="B82">
        <v>0</v>
      </c>
      <c r="C82">
        <v>0</v>
      </c>
      <c r="D82">
        <v>0</v>
      </c>
      <c r="E82">
        <v>0</v>
      </c>
      <c r="F82">
        <v>0</v>
      </c>
      <c r="G82">
        <v>0</v>
      </c>
      <c r="H82">
        <v>0</v>
      </c>
      <c r="I82">
        <v>0</v>
      </c>
      <c r="J82">
        <v>0</v>
      </c>
      <c r="K82">
        <v>0</v>
      </c>
      <c r="L82">
        <v>0</v>
      </c>
      <c r="M82">
        <v>0</v>
      </c>
    </row>
    <row r="83" spans="1:13" x14ac:dyDescent="0.2">
      <c r="A83" t="s">
        <v>42</v>
      </c>
      <c r="B83">
        <v>0</v>
      </c>
      <c r="C83">
        <v>0</v>
      </c>
      <c r="D83">
        <v>0</v>
      </c>
      <c r="E83">
        <v>0</v>
      </c>
      <c r="F83">
        <v>0</v>
      </c>
      <c r="G83">
        <v>0</v>
      </c>
      <c r="H83">
        <v>0</v>
      </c>
      <c r="I83">
        <v>0</v>
      </c>
      <c r="J83">
        <v>0</v>
      </c>
      <c r="K83">
        <v>0</v>
      </c>
      <c r="L83">
        <v>0</v>
      </c>
      <c r="M83">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7"/>
  <sheetViews>
    <sheetView topLeftCell="A7" zoomScaleNormal="100" workbookViewId="0">
      <selection activeCell="N25" sqref="N25"/>
    </sheetView>
  </sheetViews>
  <sheetFormatPr baseColWidth="10" defaultColWidth="8.83203125" defaultRowHeight="15" x14ac:dyDescent="0.2"/>
  <cols>
    <col min="1" max="8" width="9.1640625" style="2"/>
  </cols>
  <sheetData>
    <row r="1" spans="1:18" x14ac:dyDescent="0.2">
      <c r="B1" s="64" t="s">
        <v>57</v>
      </c>
      <c r="C1" s="64"/>
      <c r="D1" s="64" t="s">
        <v>58</v>
      </c>
      <c r="E1" s="64"/>
    </row>
    <row r="2" spans="1:18" x14ac:dyDescent="0.2">
      <c r="A2" s="15" t="s">
        <v>44</v>
      </c>
      <c r="B2" s="15" t="s">
        <v>45</v>
      </c>
      <c r="C2" s="15" t="s">
        <v>15</v>
      </c>
      <c r="D2" s="2" t="s">
        <v>45</v>
      </c>
      <c r="E2" s="2" t="s">
        <v>15</v>
      </c>
      <c r="F2" s="15" t="s">
        <v>13</v>
      </c>
      <c r="G2" s="15" t="s">
        <v>52</v>
      </c>
      <c r="H2" s="15" t="s">
        <v>51</v>
      </c>
      <c r="I2" s="15" t="s">
        <v>53</v>
      </c>
      <c r="J2" s="15" t="s">
        <v>54</v>
      </c>
      <c r="K2" s="15" t="s">
        <v>59</v>
      </c>
      <c r="N2" t="s">
        <v>47</v>
      </c>
    </row>
    <row r="3" spans="1:18" x14ac:dyDescent="0.2">
      <c r="A3" s="2">
        <v>15</v>
      </c>
      <c r="B3" s="2">
        <v>0.24</v>
      </c>
      <c r="C3" s="12">
        <f>(B3-0.0446)/0.0318</f>
        <v>6.1446540880503138</v>
      </c>
      <c r="D3">
        <v>1.1919999999999999</v>
      </c>
      <c r="E3" s="2">
        <f>(D3-0.1453)/0.0732</f>
        <v>14.299180327868852</v>
      </c>
      <c r="F3" s="2">
        <v>9.3699999999999992</v>
      </c>
      <c r="G3" s="12">
        <f>(F3-F3/1.044)</f>
        <v>0.39490421455938751</v>
      </c>
      <c r="H3" s="2">
        <v>25</v>
      </c>
      <c r="I3" s="12">
        <f>F3/1.044</f>
        <v>8.9750957854406117</v>
      </c>
      <c r="J3" s="12">
        <f t="shared" ref="J3:J10" si="0">(C3*(G3+H3))/I3</f>
        <v>17.386210211903375</v>
      </c>
      <c r="K3" s="12">
        <f>(E3*(G3+H3))/I3</f>
        <v>40.459324719631901</v>
      </c>
      <c r="R3" t="s">
        <v>46</v>
      </c>
    </row>
    <row r="4" spans="1:18" x14ac:dyDescent="0.2">
      <c r="A4" s="2">
        <v>30</v>
      </c>
      <c r="B4" s="2">
        <v>0.42849999999999999</v>
      </c>
      <c r="C4" s="12">
        <f t="shared" ref="C4:C27" si="1">(B4-0.0446)/0.0318</f>
        <v>12.072327044025156</v>
      </c>
      <c r="D4" s="18">
        <v>1.7639499999999999</v>
      </c>
      <c r="E4" s="13">
        <f t="shared" ref="E4:E27" si="2">(D4-0.1453)/0.0732</f>
        <v>22.112704918032787</v>
      </c>
      <c r="F4" s="2">
        <v>9.26</v>
      </c>
      <c r="G4" s="12">
        <f t="shared" ref="G4:G22" si="3">(F4-F4/1.044)</f>
        <v>0.39026819923371647</v>
      </c>
      <c r="H4" s="2">
        <v>25</v>
      </c>
      <c r="I4" s="12">
        <f t="shared" ref="I4:I5" si="4">F4/1.044</f>
        <v>8.8697318007662833</v>
      </c>
      <c r="J4" s="12">
        <f t="shared" si="0"/>
        <v>34.557935721368708</v>
      </c>
      <c r="K4" s="14">
        <f t="shared" ref="K4:K10" si="5">(E4*(G4+H4))/I4</f>
        <v>63.299265534822794</v>
      </c>
      <c r="N4" t="s">
        <v>48</v>
      </c>
      <c r="O4">
        <v>31.53</v>
      </c>
      <c r="P4">
        <v>51.97</v>
      </c>
      <c r="Q4">
        <v>51</v>
      </c>
      <c r="R4" s="11">
        <f>(P4-Q4)/(Q4-O4)</f>
        <v>4.9820236260914169E-2</v>
      </c>
    </row>
    <row r="5" spans="1:18" x14ac:dyDescent="0.2">
      <c r="A5" s="2">
        <v>45</v>
      </c>
      <c r="B5" s="2">
        <v>0.61850000000000005</v>
      </c>
      <c r="C5" s="12">
        <f t="shared" si="1"/>
        <v>18.047169811320757</v>
      </c>
      <c r="D5" s="18">
        <v>2.2030500000000002</v>
      </c>
      <c r="E5" s="13">
        <f t="shared" si="2"/>
        <v>28.111338797814206</v>
      </c>
      <c r="F5" s="2">
        <v>9.7200000000000006</v>
      </c>
      <c r="G5" s="12">
        <f t="shared" si="3"/>
        <v>0.40965517241379423</v>
      </c>
      <c r="H5" s="2">
        <v>25</v>
      </c>
      <c r="I5" s="12">
        <f t="shared" si="4"/>
        <v>9.3103448275862064</v>
      </c>
      <c r="J5" s="12">
        <f t="shared" si="0"/>
        <v>49.254068483577925</v>
      </c>
      <c r="K5" s="14">
        <f t="shared" si="5"/>
        <v>76.721049382716046</v>
      </c>
      <c r="N5" t="s">
        <v>49</v>
      </c>
      <c r="O5">
        <v>31.33</v>
      </c>
      <c r="P5">
        <v>45.2</v>
      </c>
      <c r="Q5">
        <v>44.6</v>
      </c>
      <c r="R5" s="11">
        <f t="shared" ref="R5:R6" si="6">(P5-Q5)/(Q5-O5)</f>
        <v>4.5214770158251795E-2</v>
      </c>
    </row>
    <row r="6" spans="1:18" x14ac:dyDescent="0.2">
      <c r="A6" s="2">
        <v>60</v>
      </c>
      <c r="B6" s="2">
        <v>0.59499999999999997</v>
      </c>
      <c r="C6" s="12">
        <f t="shared" si="1"/>
        <v>17.308176100628931</v>
      </c>
      <c r="D6" s="18">
        <v>1.9089</v>
      </c>
      <c r="E6" s="13">
        <f t="shared" si="2"/>
        <v>24.092896174863387</v>
      </c>
      <c r="F6" s="2">
        <v>9.76</v>
      </c>
      <c r="G6" s="12">
        <f t="shared" si="3"/>
        <v>0.41134099616858322</v>
      </c>
      <c r="H6" s="2">
        <v>25</v>
      </c>
      <c r="I6" s="12">
        <f t="shared" ref="I6:I22" si="7">F6/1.044</f>
        <v>9.3486590038314166</v>
      </c>
      <c r="J6" s="12">
        <f t="shared" si="0"/>
        <v>47.046743788019391</v>
      </c>
      <c r="K6" s="14">
        <f t="shared" si="5"/>
        <v>65.488836423900395</v>
      </c>
      <c r="N6" t="s">
        <v>50</v>
      </c>
      <c r="O6">
        <v>31.54</v>
      </c>
      <c r="P6">
        <v>46.33</v>
      </c>
      <c r="Q6">
        <v>45.8</v>
      </c>
      <c r="R6" s="11">
        <f t="shared" si="6"/>
        <v>3.7166900420757445E-2</v>
      </c>
    </row>
    <row r="7" spans="1:18" x14ac:dyDescent="0.2">
      <c r="A7" s="2">
        <v>75</v>
      </c>
      <c r="B7" s="2">
        <v>0.74850000000000005</v>
      </c>
      <c r="C7" s="12">
        <f t="shared" si="1"/>
        <v>22.135220125786166</v>
      </c>
      <c r="D7" s="18">
        <v>2.4876</v>
      </c>
      <c r="E7" s="13">
        <f t="shared" si="2"/>
        <v>31.998633879781419</v>
      </c>
      <c r="F7" s="2">
        <v>9.41</v>
      </c>
      <c r="G7" s="12">
        <f t="shared" si="3"/>
        <v>0.3965900383141765</v>
      </c>
      <c r="H7" s="2">
        <v>25</v>
      </c>
      <c r="I7" s="12">
        <f t="shared" si="7"/>
        <v>9.0134099616858236</v>
      </c>
      <c r="J7" s="12">
        <f t="shared" si="0"/>
        <v>62.369193605090274</v>
      </c>
      <c r="K7" s="14">
        <f t="shared" si="5"/>
        <v>90.160792628467561</v>
      </c>
      <c r="R7" s="11">
        <f>AVERAGE(R4:R6)</f>
        <v>4.4067302279974463E-2</v>
      </c>
    </row>
    <row r="8" spans="1:18" x14ac:dyDescent="0.2">
      <c r="A8" s="2">
        <v>90</v>
      </c>
      <c r="B8" s="2">
        <v>0.80649999999999999</v>
      </c>
      <c r="C8" s="12">
        <f t="shared" si="1"/>
        <v>23.959119496855344</v>
      </c>
      <c r="D8" s="18">
        <v>2.3628999999999998</v>
      </c>
      <c r="E8" s="13">
        <f t="shared" si="2"/>
        <v>30.295081967213108</v>
      </c>
      <c r="F8" s="2">
        <v>9.9</v>
      </c>
      <c r="G8" s="12">
        <f t="shared" si="3"/>
        <v>0.41724137931034555</v>
      </c>
      <c r="H8" s="2">
        <v>25</v>
      </c>
      <c r="I8" s="12">
        <f t="shared" si="7"/>
        <v>9.4827586206896548</v>
      </c>
      <c r="J8" s="12">
        <f t="shared" si="0"/>
        <v>64.219152658662097</v>
      </c>
      <c r="K8" s="14">
        <f t="shared" si="5"/>
        <v>81.201836065573758</v>
      </c>
    </row>
    <row r="9" spans="1:18" x14ac:dyDescent="0.2">
      <c r="A9" s="2">
        <v>105</v>
      </c>
      <c r="B9" s="2">
        <v>0.98699999999999999</v>
      </c>
      <c r="C9" s="12">
        <f t="shared" si="1"/>
        <v>29.635220125786162</v>
      </c>
      <c r="D9" s="18">
        <v>2.6774499999999999</v>
      </c>
      <c r="E9" s="13">
        <f t="shared" si="2"/>
        <v>34.592213114754095</v>
      </c>
      <c r="F9" s="2">
        <v>9.57</v>
      </c>
      <c r="G9" s="12">
        <f t="shared" si="3"/>
        <v>0.40333333333333421</v>
      </c>
      <c r="H9" s="2">
        <v>25</v>
      </c>
      <c r="I9" s="12">
        <f t="shared" si="7"/>
        <v>9.1666666666666661</v>
      </c>
      <c r="J9" s="12">
        <f t="shared" si="0"/>
        <v>82.127277301315047</v>
      </c>
      <c r="K9" s="14">
        <f t="shared" si="5"/>
        <v>95.864456780924002</v>
      </c>
    </row>
    <row r="10" spans="1:18" x14ac:dyDescent="0.2">
      <c r="A10" s="2">
        <v>120</v>
      </c>
      <c r="B10" s="2">
        <v>1.2370000000000001</v>
      </c>
      <c r="C10" s="12">
        <f t="shared" si="1"/>
        <v>37.496855345911953</v>
      </c>
      <c r="D10" s="18">
        <v>2.7069000000000001</v>
      </c>
      <c r="E10" s="13">
        <f t="shared" si="2"/>
        <v>34.994535519125684</v>
      </c>
      <c r="F10" s="2">
        <v>10.06</v>
      </c>
      <c r="G10" s="12">
        <f t="shared" si="3"/>
        <v>0.42398467432950149</v>
      </c>
      <c r="H10" s="2">
        <v>25</v>
      </c>
      <c r="I10" s="12">
        <f t="shared" si="7"/>
        <v>9.636015325670499</v>
      </c>
      <c r="J10" s="12">
        <f t="shared" si="0"/>
        <v>98.93295552471335</v>
      </c>
      <c r="K10" s="14">
        <f t="shared" si="5"/>
        <v>92.330751317233208</v>
      </c>
      <c r="N10" t="s">
        <v>60</v>
      </c>
    </row>
    <row r="11" spans="1:18" x14ac:dyDescent="0.2">
      <c r="A11" s="17">
        <v>135</v>
      </c>
      <c r="B11" s="13">
        <v>1.5429999999999999</v>
      </c>
      <c r="C11" s="14">
        <f t="shared" si="1"/>
        <v>47.119496855345908</v>
      </c>
      <c r="D11" s="18">
        <v>2.6510500000000001</v>
      </c>
      <c r="E11" s="13">
        <f t="shared" si="2"/>
        <v>34.231557377049178</v>
      </c>
      <c r="F11" s="2">
        <v>9.3000000000000007</v>
      </c>
      <c r="G11" s="2">
        <f t="shared" si="3"/>
        <v>0.39195402298850546</v>
      </c>
      <c r="H11" s="2">
        <v>25</v>
      </c>
      <c r="I11" s="12">
        <f t="shared" si="7"/>
        <v>8.9080459770114953</v>
      </c>
      <c r="J11" s="14">
        <f t="shared" ref="J11:J26" si="8">(C11*(G11+H11))/I11</f>
        <v>134.31184581050923</v>
      </c>
      <c r="K11" s="14">
        <f t="shared" ref="K11:K26" si="9">(E11*(G11+H11))/I11</f>
        <v>97.575397937599135</v>
      </c>
      <c r="N11" t="s">
        <v>61</v>
      </c>
      <c r="O11">
        <v>31.36</v>
      </c>
      <c r="P11">
        <v>113.49</v>
      </c>
      <c r="Q11">
        <v>100.86</v>
      </c>
      <c r="R11" s="11">
        <f>(P11-Q11)/(Q11-O11)</f>
        <v>0.1817266187050359</v>
      </c>
    </row>
    <row r="12" spans="1:18" x14ac:dyDescent="0.2">
      <c r="A12" s="17">
        <v>150</v>
      </c>
      <c r="B12" s="13">
        <v>1.4255</v>
      </c>
      <c r="C12" s="14">
        <f t="shared" si="1"/>
        <v>43.424528301886788</v>
      </c>
      <c r="D12" s="18">
        <v>2.4935999999999998</v>
      </c>
      <c r="E12" s="13">
        <f t="shared" si="2"/>
        <v>32.080601092896167</v>
      </c>
      <c r="F12" s="2">
        <v>9.5</v>
      </c>
      <c r="G12" s="2">
        <f t="shared" si="3"/>
        <v>0.40038314176245215</v>
      </c>
      <c r="H12" s="2">
        <v>25</v>
      </c>
      <c r="I12" s="12">
        <f t="shared" si="7"/>
        <v>9.0996168582375478</v>
      </c>
      <c r="J12" s="14">
        <f t="shared" si="8"/>
        <v>121.21385700099304</v>
      </c>
      <c r="K12" s="14">
        <f t="shared" si="9"/>
        <v>89.548776819096915</v>
      </c>
      <c r="N12" t="s">
        <v>62</v>
      </c>
      <c r="O12">
        <v>31.52</v>
      </c>
      <c r="P12">
        <v>100.5</v>
      </c>
      <c r="Q12">
        <v>89.75</v>
      </c>
      <c r="R12" s="11">
        <f t="shared" ref="R12:R13" si="10">(P12-Q12)/(Q12-O12)</f>
        <v>0.18461274257255708</v>
      </c>
    </row>
    <row r="13" spans="1:18" x14ac:dyDescent="0.2">
      <c r="A13" s="17">
        <v>165</v>
      </c>
      <c r="B13" s="13">
        <v>1.5985</v>
      </c>
      <c r="C13" s="14">
        <f t="shared" si="1"/>
        <v>48.864779874213838</v>
      </c>
      <c r="D13" s="18">
        <v>2.5002</v>
      </c>
      <c r="E13" s="13">
        <f t="shared" si="2"/>
        <v>32.170765027322403</v>
      </c>
      <c r="F13" s="2">
        <v>10.130000000000001</v>
      </c>
      <c r="G13" s="2">
        <f t="shared" si="3"/>
        <v>0.42693486590038354</v>
      </c>
      <c r="H13" s="2">
        <v>25</v>
      </c>
      <c r="I13" s="12">
        <f t="shared" si="7"/>
        <v>9.7030651340996172</v>
      </c>
      <c r="J13" s="14">
        <f t="shared" si="8"/>
        <v>128.05042096767184</v>
      </c>
      <c r="K13" s="14">
        <f t="shared" si="9"/>
        <v>84.303664422615284</v>
      </c>
      <c r="N13" t="s">
        <v>49</v>
      </c>
      <c r="O13">
        <v>31.31</v>
      </c>
      <c r="P13">
        <v>91.14</v>
      </c>
      <c r="Q13">
        <v>82.09</v>
      </c>
      <c r="R13" s="11">
        <f t="shared" si="10"/>
        <v>0.17821977156360766</v>
      </c>
    </row>
    <row r="14" spans="1:18" x14ac:dyDescent="0.2">
      <c r="A14" s="17">
        <v>180</v>
      </c>
      <c r="B14" s="13">
        <v>1.8085</v>
      </c>
      <c r="C14" s="14">
        <f t="shared" si="1"/>
        <v>55.468553459119491</v>
      </c>
      <c r="D14" s="18">
        <v>2.0790999999999999</v>
      </c>
      <c r="E14" s="13">
        <f t="shared" si="2"/>
        <v>26.418032786885245</v>
      </c>
      <c r="F14" s="2">
        <v>10.02</v>
      </c>
      <c r="G14" s="2">
        <f t="shared" si="3"/>
        <v>0.4222988505747125</v>
      </c>
      <c r="H14" s="2">
        <v>25</v>
      </c>
      <c r="I14" s="12">
        <f t="shared" si="7"/>
        <v>9.5977011494252871</v>
      </c>
      <c r="J14" s="14">
        <f t="shared" si="8"/>
        <v>146.92457296727301</v>
      </c>
      <c r="K14" s="14">
        <f t="shared" si="9"/>
        <v>69.975832139000687</v>
      </c>
      <c r="R14" s="11">
        <f>AVERAGE(R11:R13)</f>
        <v>0.18151971094706687</v>
      </c>
    </row>
    <row r="15" spans="1:18" x14ac:dyDescent="0.2">
      <c r="A15" s="17">
        <v>195</v>
      </c>
      <c r="B15" s="13">
        <v>1.6675</v>
      </c>
      <c r="C15" s="14">
        <f t="shared" si="1"/>
        <v>51.034591194968549</v>
      </c>
      <c r="D15" s="18">
        <v>2.2944499999999999</v>
      </c>
      <c r="E15" s="13">
        <f t="shared" si="2"/>
        <v>29.359972677595625</v>
      </c>
      <c r="F15" s="2">
        <v>9.9</v>
      </c>
      <c r="G15" s="2">
        <f t="shared" si="3"/>
        <v>0.41724137931034555</v>
      </c>
      <c r="H15" s="2">
        <v>25</v>
      </c>
      <c r="I15" s="12">
        <f t="shared" si="7"/>
        <v>9.4827586206896548</v>
      </c>
      <c r="J15" s="14">
        <f t="shared" si="8"/>
        <v>136.79126243567754</v>
      </c>
      <c r="K15" s="14">
        <f t="shared" si="9"/>
        <v>78.695403129657237</v>
      </c>
    </row>
    <row r="16" spans="1:18" x14ac:dyDescent="0.2">
      <c r="A16" s="17">
        <v>210</v>
      </c>
      <c r="B16" s="13">
        <v>1.9724999999999999</v>
      </c>
      <c r="C16" s="14">
        <f t="shared" si="1"/>
        <v>60.625786163522008</v>
      </c>
      <c r="D16" s="18">
        <v>2.3537499999999998</v>
      </c>
      <c r="E16" s="13">
        <f t="shared" si="2"/>
        <v>30.170081967213108</v>
      </c>
      <c r="F16" s="2">
        <v>9.49</v>
      </c>
      <c r="G16" s="2">
        <f t="shared" si="3"/>
        <v>0.39996168582375446</v>
      </c>
      <c r="H16" s="2">
        <v>25</v>
      </c>
      <c r="I16" s="12">
        <f t="shared" si="7"/>
        <v>9.0900383141762457</v>
      </c>
      <c r="J16" s="14">
        <f t="shared" si="8"/>
        <v>169.40441750667696</v>
      </c>
      <c r="K16" s="14">
        <f t="shared" si="9"/>
        <v>84.303156877817855</v>
      </c>
    </row>
    <row r="17" spans="1:14" x14ac:dyDescent="0.2">
      <c r="A17" s="17">
        <v>225</v>
      </c>
      <c r="B17" s="13">
        <v>2.1789999999999998</v>
      </c>
      <c r="C17" s="14">
        <f t="shared" si="1"/>
        <v>67.119496855345901</v>
      </c>
      <c r="D17" s="18">
        <v>2.0832999999999999</v>
      </c>
      <c r="E17" s="13">
        <f t="shared" si="2"/>
        <v>26.475409836065573</v>
      </c>
      <c r="F17" s="2">
        <v>9.58</v>
      </c>
      <c r="G17" s="2">
        <f t="shared" si="3"/>
        <v>0.40375478927203012</v>
      </c>
      <c r="H17" s="2">
        <v>25</v>
      </c>
      <c r="I17" s="12">
        <f t="shared" si="7"/>
        <v>9.1762452107279699</v>
      </c>
      <c r="J17" s="14">
        <f t="shared" si="8"/>
        <v>185.81535263455044</v>
      </c>
      <c r="K17" s="14">
        <f t="shared" si="9"/>
        <v>73.295209966117923</v>
      </c>
    </row>
    <row r="18" spans="1:14" x14ac:dyDescent="0.2">
      <c r="A18" s="17">
        <v>240</v>
      </c>
      <c r="B18" s="13">
        <v>2.1440000000000001</v>
      </c>
      <c r="C18" s="14">
        <f t="shared" si="1"/>
        <v>66.018867924528308</v>
      </c>
      <c r="D18" s="18">
        <v>2.1196000000000002</v>
      </c>
      <c r="E18" s="13">
        <f t="shared" si="2"/>
        <v>26.971311475409838</v>
      </c>
      <c r="F18" s="2">
        <v>9.8699999999999992</v>
      </c>
      <c r="G18" s="2">
        <f t="shared" si="3"/>
        <v>0.41597701149425248</v>
      </c>
      <c r="H18" s="2">
        <v>25</v>
      </c>
      <c r="I18" s="12">
        <f t="shared" si="7"/>
        <v>9.4540229885057467</v>
      </c>
      <c r="J18" s="14">
        <f t="shared" si="8"/>
        <v>177.48359947238632</v>
      </c>
      <c r="K18" s="14">
        <f t="shared" si="9"/>
        <v>72.509050724998772</v>
      </c>
    </row>
    <row r="19" spans="1:14" x14ac:dyDescent="0.2">
      <c r="A19" s="17">
        <v>255</v>
      </c>
      <c r="B19" s="13">
        <v>2.5554999999999999</v>
      </c>
      <c r="C19" s="14">
        <f t="shared" si="1"/>
        <v>78.959119496855337</v>
      </c>
      <c r="D19" s="18">
        <v>1.3266</v>
      </c>
      <c r="E19" s="13">
        <f t="shared" si="2"/>
        <v>16.137978142076502</v>
      </c>
      <c r="F19" s="2">
        <v>11.06</v>
      </c>
      <c r="G19" s="2">
        <f t="shared" si="3"/>
        <v>0.46613026819923498</v>
      </c>
      <c r="H19" s="2">
        <v>25</v>
      </c>
      <c r="I19" s="12">
        <f t="shared" si="7"/>
        <v>10.593869731800766</v>
      </c>
      <c r="J19" s="14">
        <f t="shared" si="8"/>
        <v>189.80630061300855</v>
      </c>
      <c r="K19" s="14">
        <f t="shared" si="9"/>
        <v>38.793364845502431</v>
      </c>
    </row>
    <row r="20" spans="1:14" x14ac:dyDescent="0.2">
      <c r="A20" s="17">
        <v>270</v>
      </c>
      <c r="B20" s="13">
        <v>2.206</v>
      </c>
      <c r="C20" s="14">
        <f t="shared" si="1"/>
        <v>67.968553459119491</v>
      </c>
      <c r="D20" s="18">
        <v>1.6724000000000001</v>
      </c>
      <c r="E20" s="13">
        <f t="shared" si="2"/>
        <v>20.862021857923498</v>
      </c>
      <c r="F20" s="2">
        <v>9.5500000000000007</v>
      </c>
      <c r="G20" s="2">
        <f t="shared" si="3"/>
        <v>0.40249042145593883</v>
      </c>
      <c r="H20" s="2">
        <v>25</v>
      </c>
      <c r="I20" s="12">
        <f t="shared" si="7"/>
        <v>9.1475095785440619</v>
      </c>
      <c r="J20" s="14">
        <f t="shared" si="8"/>
        <v>188.7476053870723</v>
      </c>
      <c r="K20" s="14">
        <f t="shared" si="9"/>
        <v>57.933507023717567</v>
      </c>
    </row>
    <row r="21" spans="1:14" x14ac:dyDescent="0.2">
      <c r="A21" s="17">
        <v>285</v>
      </c>
      <c r="B21" s="13">
        <v>2.3149999999999999</v>
      </c>
      <c r="C21" s="14">
        <f t="shared" si="1"/>
        <v>71.396226415094333</v>
      </c>
      <c r="D21" s="18">
        <v>1.8081</v>
      </c>
      <c r="E21" s="13">
        <f t="shared" si="2"/>
        <v>22.715846994535518</v>
      </c>
      <c r="F21" s="2">
        <v>10.09</v>
      </c>
      <c r="G21" s="2">
        <f t="shared" si="3"/>
        <v>0.42524904214559456</v>
      </c>
      <c r="H21" s="2">
        <v>25</v>
      </c>
      <c r="I21" s="12">
        <f t="shared" si="7"/>
        <v>9.6647509578544053</v>
      </c>
      <c r="J21" s="14">
        <f t="shared" si="8"/>
        <v>187.82344679020886</v>
      </c>
      <c r="K21" s="14">
        <f t="shared" si="9"/>
        <v>59.759022199115073</v>
      </c>
    </row>
    <row r="22" spans="1:14" x14ac:dyDescent="0.2">
      <c r="A22" s="17">
        <v>300</v>
      </c>
      <c r="B22" s="13">
        <v>2.8805000000000001</v>
      </c>
      <c r="C22" s="14">
        <f t="shared" si="1"/>
        <v>89.179245283018872</v>
      </c>
      <c r="D22" s="18">
        <v>2.0205000000000002</v>
      </c>
      <c r="E22" s="13">
        <f t="shared" si="2"/>
        <v>25.617486338797818</v>
      </c>
      <c r="F22" s="2">
        <v>10.6</v>
      </c>
      <c r="G22" s="2">
        <f t="shared" si="3"/>
        <v>0.44674329501915722</v>
      </c>
      <c r="H22" s="2">
        <v>25</v>
      </c>
      <c r="I22" s="12">
        <f t="shared" si="7"/>
        <v>10.153256704980842</v>
      </c>
      <c r="J22" s="14">
        <f t="shared" si="8"/>
        <v>223.5067454610182</v>
      </c>
      <c r="K22" s="14">
        <f t="shared" si="9"/>
        <v>64.20418764821116</v>
      </c>
    </row>
    <row r="23" spans="1:14" x14ac:dyDescent="0.2">
      <c r="A23" s="2" t="s">
        <v>30</v>
      </c>
      <c r="B23" s="2">
        <v>0.114</v>
      </c>
      <c r="C23" s="12">
        <f t="shared" si="1"/>
        <v>2.1823899371069184</v>
      </c>
      <c r="D23">
        <v>0.93735000000000002</v>
      </c>
      <c r="E23" s="2">
        <f t="shared" si="2"/>
        <v>10.82035519125683</v>
      </c>
      <c r="F23" s="2">
        <v>11.88</v>
      </c>
      <c r="G23" s="2">
        <f>(F23-F23/1.182)</f>
        <v>1.8292385786802026</v>
      </c>
      <c r="H23" s="2">
        <v>30</v>
      </c>
      <c r="I23" s="12">
        <f>F23/1.182</f>
        <v>10.050761421319798</v>
      </c>
      <c r="J23" s="12">
        <f t="shared" si="8"/>
        <v>6.9112982656756241</v>
      </c>
      <c r="K23" s="12">
        <f t="shared" si="9"/>
        <v>34.266425442954123</v>
      </c>
      <c r="M23" s="34">
        <f>AVERAGE(J23:J26)</f>
        <v>6.7362103865900274</v>
      </c>
      <c r="N23">
        <f>_xlfn.STDEV.P(J23:J26)/SQRT(4)</f>
        <v>0.22948844233084864</v>
      </c>
    </row>
    <row r="24" spans="1:14" x14ac:dyDescent="0.2">
      <c r="A24" s="2" t="s">
        <v>31</v>
      </c>
      <c r="B24" s="2">
        <v>0.1135</v>
      </c>
      <c r="C24" s="12">
        <f t="shared" si="1"/>
        <v>2.1666666666666665</v>
      </c>
      <c r="D24">
        <v>0.97240000000000004</v>
      </c>
      <c r="E24" s="2">
        <f t="shared" si="2"/>
        <v>11.299180327868854</v>
      </c>
      <c r="F24" s="2">
        <v>11.73</v>
      </c>
      <c r="G24" s="2">
        <f t="shared" ref="G24:G26" si="11">(F24-F24/1.182)</f>
        <v>1.8061421319796942</v>
      </c>
      <c r="H24" s="2">
        <v>30</v>
      </c>
      <c r="I24" s="12">
        <f t="shared" ref="I24:I26" si="12">F24/1.182</f>
        <v>9.9238578680203062</v>
      </c>
      <c r="J24" s="12">
        <f t="shared" si="8"/>
        <v>6.9442054560954789</v>
      </c>
      <c r="K24" s="12">
        <f t="shared" si="9"/>
        <v>36.214075237935518</v>
      </c>
      <c r="M24" s="34">
        <f>AVERAGE(K23:K26)</f>
        <v>35.57018766360472</v>
      </c>
      <c r="N24">
        <f>_xlfn.STDEV.P(K23:K26)/SQRT(4)</f>
        <v>0.49762698551968337</v>
      </c>
    </row>
    <row r="25" spans="1:14" x14ac:dyDescent="0.2">
      <c r="A25" s="2" t="s">
        <v>32</v>
      </c>
      <c r="B25" s="2">
        <v>0.107</v>
      </c>
      <c r="C25" s="12">
        <f t="shared" si="1"/>
        <v>1.962264150943396</v>
      </c>
      <c r="D25">
        <v>0.98945000000000005</v>
      </c>
      <c r="E25" s="2">
        <f t="shared" si="2"/>
        <v>11.532103825136613</v>
      </c>
      <c r="F25" s="2">
        <v>12.43</v>
      </c>
      <c r="G25" s="2">
        <f t="shared" si="11"/>
        <v>1.9139255499153975</v>
      </c>
      <c r="H25" s="2">
        <v>30</v>
      </c>
      <c r="I25" s="12">
        <f t="shared" si="12"/>
        <v>10.516074450084602</v>
      </c>
      <c r="J25" s="12">
        <f t="shared" si="8"/>
        <v>5.9550312542691906</v>
      </c>
      <c r="K25" s="12">
        <f t="shared" si="9"/>
        <v>34.997346648334499</v>
      </c>
    </row>
    <row r="26" spans="1:14" x14ac:dyDescent="0.2">
      <c r="A26" s="2" t="s">
        <v>33</v>
      </c>
      <c r="B26" s="2">
        <v>0.11550000000000001</v>
      </c>
      <c r="C26" s="12">
        <f t="shared" si="1"/>
        <v>2.2295597484276728</v>
      </c>
      <c r="D26">
        <v>0.98719999999999997</v>
      </c>
      <c r="E26" s="2">
        <f t="shared" si="2"/>
        <v>11.501366120218579</v>
      </c>
      <c r="F26" s="2">
        <v>11.75</v>
      </c>
      <c r="G26" s="2">
        <f t="shared" si="11"/>
        <v>1.8092216582064289</v>
      </c>
      <c r="H26" s="2">
        <v>30</v>
      </c>
      <c r="I26" s="12">
        <f t="shared" si="12"/>
        <v>9.9407783417935711</v>
      </c>
      <c r="J26" s="12">
        <f t="shared" si="8"/>
        <v>7.1343065703198167</v>
      </c>
      <c r="K26" s="12">
        <f t="shared" si="9"/>
        <v>36.802903325194741</v>
      </c>
    </row>
    <row r="27" spans="1:14" x14ac:dyDescent="0.2">
      <c r="A27" s="19" t="s">
        <v>34</v>
      </c>
      <c r="B27" s="19">
        <v>0.112</v>
      </c>
      <c r="C27" s="20">
        <f t="shared" si="1"/>
        <v>2.1194968553459117</v>
      </c>
      <c r="D27" s="21">
        <v>0.129</v>
      </c>
      <c r="E27" s="2">
        <f t="shared" si="2"/>
        <v>-0.22267759562841541</v>
      </c>
    </row>
    <row r="29" spans="1:14" x14ac:dyDescent="0.2">
      <c r="A29" t="s">
        <v>57</v>
      </c>
      <c r="B29"/>
      <c r="C29"/>
      <c r="D29"/>
      <c r="E29"/>
      <c r="F29"/>
      <c r="G29"/>
    </row>
    <row r="30" spans="1:14" x14ac:dyDescent="0.2">
      <c r="A30" t="s">
        <v>15</v>
      </c>
      <c r="B30" t="s">
        <v>45</v>
      </c>
      <c r="C30"/>
      <c r="D30"/>
      <c r="E30"/>
      <c r="F30"/>
      <c r="G30"/>
    </row>
    <row r="31" spans="1:14" x14ac:dyDescent="0.2">
      <c r="A31">
        <v>0</v>
      </c>
      <c r="B31">
        <v>5.1999999999999998E-2</v>
      </c>
      <c r="C31"/>
      <c r="D31"/>
      <c r="E31"/>
      <c r="F31"/>
      <c r="G31"/>
    </row>
    <row r="32" spans="1:14" x14ac:dyDescent="0.2">
      <c r="A32">
        <v>0.1</v>
      </c>
      <c r="B32">
        <v>5.6000000000000001E-2</v>
      </c>
      <c r="C32"/>
      <c r="D32"/>
      <c r="E32"/>
      <c r="F32"/>
      <c r="G32"/>
    </row>
    <row r="33" spans="1:7" x14ac:dyDescent="0.2">
      <c r="A33">
        <v>0.5</v>
      </c>
      <c r="B33">
        <v>6.9500000000000006E-2</v>
      </c>
      <c r="C33"/>
      <c r="D33"/>
      <c r="E33"/>
      <c r="F33"/>
      <c r="G33"/>
    </row>
    <row r="34" spans="1:7" x14ac:dyDescent="0.2">
      <c r="A34">
        <v>1</v>
      </c>
      <c r="B34">
        <v>8.5999999999999993E-2</v>
      </c>
      <c r="C34"/>
      <c r="D34"/>
      <c r="E34"/>
      <c r="F34"/>
      <c r="G34"/>
    </row>
    <row r="35" spans="1:7" x14ac:dyDescent="0.2">
      <c r="A35">
        <v>2</v>
      </c>
      <c r="B35">
        <v>0.11550000000000001</v>
      </c>
      <c r="C35"/>
      <c r="D35"/>
      <c r="E35"/>
      <c r="F35"/>
      <c r="G35"/>
    </row>
    <row r="36" spans="1:7" x14ac:dyDescent="0.2">
      <c r="A36">
        <v>4</v>
      </c>
      <c r="B36">
        <v>0.17849999999999999</v>
      </c>
      <c r="C36"/>
      <c r="D36"/>
      <c r="E36"/>
      <c r="F36"/>
      <c r="G36"/>
    </row>
    <row r="37" spans="1:7" x14ac:dyDescent="0.2">
      <c r="A37">
        <v>7</v>
      </c>
      <c r="B37">
        <v>0.2455</v>
      </c>
      <c r="C37"/>
      <c r="D37"/>
      <c r="E37"/>
      <c r="F37"/>
      <c r="G37"/>
    </row>
    <row r="38" spans="1:7" x14ac:dyDescent="0.2">
      <c r="A38">
        <v>10</v>
      </c>
      <c r="B38">
        <v>0.33950000000000002</v>
      </c>
      <c r="C38"/>
      <c r="D38"/>
      <c r="E38"/>
      <c r="F38"/>
      <c r="G38"/>
    </row>
    <row r="39" spans="1:7" x14ac:dyDescent="0.2">
      <c r="A39">
        <v>20</v>
      </c>
      <c r="B39">
        <v>0.65949999999999998</v>
      </c>
      <c r="C39"/>
      <c r="D39"/>
      <c r="E39"/>
      <c r="F39"/>
      <c r="G39"/>
    </row>
    <row r="40" spans="1:7" x14ac:dyDescent="0.2">
      <c r="A40">
        <v>40</v>
      </c>
      <c r="B40">
        <v>1.337</v>
      </c>
      <c r="C40"/>
      <c r="D40"/>
      <c r="E40"/>
      <c r="F40"/>
      <c r="G40"/>
    </row>
    <row r="41" spans="1:7" x14ac:dyDescent="0.2">
      <c r="A41"/>
      <c r="B41"/>
      <c r="C41"/>
      <c r="D41"/>
      <c r="E41"/>
      <c r="F41"/>
      <c r="G41"/>
    </row>
    <row r="42" spans="1:7" x14ac:dyDescent="0.2">
      <c r="A42"/>
      <c r="B42"/>
      <c r="C42"/>
      <c r="D42"/>
      <c r="E42"/>
      <c r="F42"/>
      <c r="G42"/>
    </row>
    <row r="43" spans="1:7" x14ac:dyDescent="0.2">
      <c r="A43"/>
      <c r="B43"/>
      <c r="C43"/>
      <c r="D43"/>
      <c r="E43"/>
      <c r="F43"/>
      <c r="G43"/>
    </row>
    <row r="44" spans="1:7" x14ac:dyDescent="0.2">
      <c r="A44"/>
      <c r="B44"/>
      <c r="C44"/>
      <c r="D44"/>
      <c r="E44"/>
      <c r="F44"/>
      <c r="G44"/>
    </row>
    <row r="45" spans="1:7" x14ac:dyDescent="0.2">
      <c r="A45"/>
      <c r="B45"/>
      <c r="C45"/>
      <c r="D45"/>
      <c r="E45"/>
      <c r="F45"/>
      <c r="G45"/>
    </row>
    <row r="46" spans="1:7" x14ac:dyDescent="0.2">
      <c r="A46" t="s">
        <v>58</v>
      </c>
      <c r="B46"/>
      <c r="C46"/>
      <c r="D46"/>
      <c r="E46"/>
      <c r="F46"/>
      <c r="G46"/>
    </row>
    <row r="48" spans="1:7" x14ac:dyDescent="0.2">
      <c r="A48">
        <v>0</v>
      </c>
      <c r="B48">
        <v>0.12705</v>
      </c>
    </row>
    <row r="49" spans="1:2" x14ac:dyDescent="0.2">
      <c r="A49">
        <v>0.1</v>
      </c>
      <c r="B49">
        <v>0.13235</v>
      </c>
    </row>
    <row r="50" spans="1:2" x14ac:dyDescent="0.2">
      <c r="A50">
        <v>0.5</v>
      </c>
      <c r="B50">
        <v>0.1721</v>
      </c>
    </row>
    <row r="51" spans="1:2" x14ac:dyDescent="0.2">
      <c r="A51">
        <v>1</v>
      </c>
      <c r="B51">
        <v>0.2155</v>
      </c>
    </row>
    <row r="52" spans="1:2" x14ac:dyDescent="0.2">
      <c r="A52">
        <v>2</v>
      </c>
      <c r="B52">
        <v>0.30214999999999997</v>
      </c>
    </row>
    <row r="53" spans="1:2" x14ac:dyDescent="0.2">
      <c r="A53">
        <v>4</v>
      </c>
      <c r="B53">
        <v>0.46789999999999998</v>
      </c>
    </row>
    <row r="54" spans="1:2" x14ac:dyDescent="0.2">
      <c r="A54">
        <v>7</v>
      </c>
      <c r="B54">
        <v>0.64985000000000004</v>
      </c>
    </row>
    <row r="55" spans="1:2" x14ac:dyDescent="0.2">
      <c r="A55">
        <v>10</v>
      </c>
      <c r="B55">
        <v>0.9234</v>
      </c>
    </row>
    <row r="56" spans="1:2" x14ac:dyDescent="0.2">
      <c r="A56">
        <v>20</v>
      </c>
      <c r="B56">
        <v>1.58325</v>
      </c>
    </row>
    <row r="57" spans="1:2" x14ac:dyDescent="0.2">
      <c r="A57" s="18">
        <v>40</v>
      </c>
      <c r="B57" s="18">
        <v>2.5297499999999999</v>
      </c>
    </row>
  </sheetData>
  <mergeCells count="2">
    <mergeCell ref="B1:C1"/>
    <mergeCell ref="D1:E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1"/>
  <sheetViews>
    <sheetView zoomScale="115" zoomScaleNormal="115" workbookViewId="0">
      <selection activeCell="J61" sqref="J1:J61"/>
    </sheetView>
  </sheetViews>
  <sheetFormatPr baseColWidth="10" defaultColWidth="8.83203125" defaultRowHeight="15" x14ac:dyDescent="0.2"/>
  <sheetData>
    <row r="1" spans="1:10" s="33" customFormat="1" ht="30" x14ac:dyDescent="0.2">
      <c r="A1" s="33" t="s">
        <v>63</v>
      </c>
      <c r="B1" s="33" t="s">
        <v>67</v>
      </c>
      <c r="C1" s="33" t="s">
        <v>65</v>
      </c>
      <c r="D1" s="33" t="s">
        <v>66</v>
      </c>
      <c r="E1" s="33" t="s">
        <v>64</v>
      </c>
      <c r="F1" s="33" t="s">
        <v>68</v>
      </c>
      <c r="G1" s="33" t="s">
        <v>69</v>
      </c>
      <c r="H1" s="33" t="s">
        <v>177</v>
      </c>
      <c r="J1" s="33" t="s">
        <v>177</v>
      </c>
    </row>
    <row r="2" spans="1:10" x14ac:dyDescent="0.2">
      <c r="A2">
        <v>1</v>
      </c>
      <c r="B2">
        <v>1.61</v>
      </c>
      <c r="C2">
        <v>0</v>
      </c>
      <c r="D2">
        <v>0.7</v>
      </c>
      <c r="E2">
        <v>1.01</v>
      </c>
      <c r="F2">
        <v>0.37</v>
      </c>
      <c r="G2">
        <v>3.6900000000000004</v>
      </c>
      <c r="H2">
        <v>3.45</v>
      </c>
      <c r="I2" s="4">
        <f>(G2-H2)/H2*100</f>
        <v>6.9565217391304408</v>
      </c>
      <c r="J2">
        <v>3.45</v>
      </c>
    </row>
    <row r="3" spans="1:10" x14ac:dyDescent="0.2">
      <c r="A3">
        <v>2</v>
      </c>
      <c r="B3">
        <v>0</v>
      </c>
      <c r="C3">
        <v>1.59</v>
      </c>
      <c r="D3">
        <v>1.08</v>
      </c>
      <c r="E3">
        <v>1.1299999999999999</v>
      </c>
      <c r="F3">
        <v>0.76</v>
      </c>
      <c r="G3">
        <v>4.5599999999999996</v>
      </c>
      <c r="H3">
        <v>4.3</v>
      </c>
      <c r="I3" s="4">
        <f t="shared" ref="I3:I61" si="0">(G3-H3)/H3*100</f>
        <v>6.0465116279069715</v>
      </c>
      <c r="J3">
        <v>4.3</v>
      </c>
    </row>
    <row r="4" spans="1:10" x14ac:dyDescent="0.2">
      <c r="A4">
        <v>3</v>
      </c>
      <c r="B4">
        <v>0</v>
      </c>
      <c r="C4">
        <v>1.1499999999999999</v>
      </c>
      <c r="D4">
        <v>1.8</v>
      </c>
      <c r="E4">
        <v>1.01</v>
      </c>
      <c r="F4">
        <v>0</v>
      </c>
      <c r="G4">
        <v>3.96</v>
      </c>
      <c r="H4">
        <v>3.68</v>
      </c>
      <c r="I4" s="4">
        <f t="shared" si="0"/>
        <v>7.6086956521739078</v>
      </c>
      <c r="J4">
        <v>3.68</v>
      </c>
    </row>
    <row r="5" spans="1:10" x14ac:dyDescent="0.2">
      <c r="A5">
        <v>4</v>
      </c>
      <c r="B5">
        <v>0</v>
      </c>
      <c r="C5">
        <v>0</v>
      </c>
      <c r="D5">
        <v>1.1200000000000001</v>
      </c>
      <c r="E5">
        <v>2.0699999999999998</v>
      </c>
      <c r="F5">
        <v>1.07</v>
      </c>
      <c r="G5">
        <v>4.26</v>
      </c>
      <c r="H5">
        <v>4.0999999999999996</v>
      </c>
      <c r="I5" s="4">
        <f t="shared" si="0"/>
        <v>3.9024390243902474</v>
      </c>
      <c r="J5">
        <v>4.0999999999999996</v>
      </c>
    </row>
    <row r="6" spans="1:10" x14ac:dyDescent="0.2">
      <c r="A6">
        <v>5</v>
      </c>
      <c r="B6">
        <v>0</v>
      </c>
      <c r="C6">
        <v>0</v>
      </c>
      <c r="D6">
        <v>0</v>
      </c>
      <c r="E6">
        <v>3.74</v>
      </c>
      <c r="F6">
        <v>0</v>
      </c>
      <c r="G6">
        <v>3.74</v>
      </c>
      <c r="H6">
        <v>3.54</v>
      </c>
      <c r="I6" s="4">
        <f t="shared" si="0"/>
        <v>5.6497175141242986</v>
      </c>
      <c r="J6">
        <v>3.54</v>
      </c>
    </row>
    <row r="7" spans="1:10" x14ac:dyDescent="0.2">
      <c r="A7">
        <v>6</v>
      </c>
      <c r="B7">
        <v>0</v>
      </c>
      <c r="C7">
        <v>0.67</v>
      </c>
      <c r="D7">
        <v>0.56999999999999995</v>
      </c>
      <c r="E7">
        <v>1.89</v>
      </c>
      <c r="F7">
        <v>0</v>
      </c>
      <c r="G7">
        <v>3.13</v>
      </c>
      <c r="H7">
        <v>3.19</v>
      </c>
      <c r="I7" s="4">
        <f t="shared" si="0"/>
        <v>-1.8808777429467103</v>
      </c>
      <c r="J7">
        <v>3.19</v>
      </c>
    </row>
    <row r="8" spans="1:10" x14ac:dyDescent="0.2">
      <c r="A8">
        <v>7</v>
      </c>
      <c r="B8">
        <v>0.54</v>
      </c>
      <c r="C8">
        <v>1.53</v>
      </c>
      <c r="D8">
        <v>0</v>
      </c>
      <c r="E8">
        <v>0.82</v>
      </c>
      <c r="F8">
        <v>0.46</v>
      </c>
      <c r="G8">
        <v>3.35</v>
      </c>
      <c r="H8">
        <v>3.15</v>
      </c>
      <c r="I8" s="4">
        <f t="shared" si="0"/>
        <v>6.3492063492063542</v>
      </c>
      <c r="J8">
        <v>3.15</v>
      </c>
    </row>
    <row r="9" spans="1:10" x14ac:dyDescent="0.2">
      <c r="A9">
        <v>8</v>
      </c>
      <c r="B9">
        <v>1.39</v>
      </c>
      <c r="C9">
        <v>0</v>
      </c>
      <c r="D9">
        <v>0</v>
      </c>
      <c r="E9">
        <v>1.79</v>
      </c>
      <c r="F9">
        <v>1.07</v>
      </c>
      <c r="G9">
        <v>4.25</v>
      </c>
      <c r="H9">
        <v>4.0999999999999996</v>
      </c>
      <c r="I9" s="4">
        <f t="shared" si="0"/>
        <v>3.6585365853658622</v>
      </c>
      <c r="J9">
        <v>4.0999999999999996</v>
      </c>
    </row>
    <row r="10" spans="1:10" x14ac:dyDescent="0.2">
      <c r="A10">
        <v>9</v>
      </c>
      <c r="B10">
        <v>0</v>
      </c>
      <c r="C10">
        <v>0.51</v>
      </c>
      <c r="D10">
        <v>0</v>
      </c>
      <c r="E10">
        <v>2.2400000000000002</v>
      </c>
      <c r="F10">
        <v>0</v>
      </c>
      <c r="G10">
        <v>2.75</v>
      </c>
      <c r="H10">
        <v>2.57</v>
      </c>
      <c r="I10" s="4">
        <f t="shared" si="0"/>
        <v>7.0038910505836647</v>
      </c>
      <c r="J10">
        <v>2.57</v>
      </c>
    </row>
    <row r="11" spans="1:10" x14ac:dyDescent="0.2">
      <c r="A11">
        <v>10</v>
      </c>
      <c r="B11">
        <v>0.68</v>
      </c>
      <c r="C11">
        <v>0</v>
      </c>
      <c r="D11">
        <v>0</v>
      </c>
      <c r="E11">
        <v>1.96</v>
      </c>
      <c r="F11">
        <v>0.97</v>
      </c>
      <c r="G11">
        <v>3.6100000000000003</v>
      </c>
      <c r="H11">
        <v>3.46</v>
      </c>
      <c r="I11" s="4">
        <f t="shared" si="0"/>
        <v>4.335260115606947</v>
      </c>
      <c r="J11">
        <v>3.46</v>
      </c>
    </row>
    <row r="12" spans="1:10" x14ac:dyDescent="0.2">
      <c r="A12">
        <v>11</v>
      </c>
      <c r="B12">
        <v>0</v>
      </c>
      <c r="C12">
        <v>1.58</v>
      </c>
      <c r="D12">
        <v>0.78</v>
      </c>
      <c r="E12">
        <v>0.75</v>
      </c>
      <c r="F12">
        <v>0.14000000000000001</v>
      </c>
      <c r="G12">
        <v>3.2500000000000004</v>
      </c>
      <c r="H12">
        <v>3.04</v>
      </c>
      <c r="I12" s="4">
        <f t="shared" si="0"/>
        <v>6.9078947368421186</v>
      </c>
      <c r="J12">
        <v>3.04</v>
      </c>
    </row>
    <row r="13" spans="1:10" x14ac:dyDescent="0.2">
      <c r="A13">
        <v>12</v>
      </c>
      <c r="B13">
        <v>0.7</v>
      </c>
      <c r="C13">
        <v>0.78</v>
      </c>
      <c r="D13">
        <v>0</v>
      </c>
      <c r="E13">
        <v>2.27</v>
      </c>
      <c r="F13">
        <v>0.49</v>
      </c>
      <c r="G13">
        <v>4.24</v>
      </c>
      <c r="H13">
        <v>4.05</v>
      </c>
      <c r="I13" s="4">
        <f t="shared" si="0"/>
        <v>4.6913580246913682</v>
      </c>
      <c r="J13">
        <v>4.05</v>
      </c>
    </row>
    <row r="14" spans="1:10" x14ac:dyDescent="0.2">
      <c r="A14">
        <v>13</v>
      </c>
      <c r="B14">
        <v>0.6</v>
      </c>
      <c r="C14">
        <v>0.92</v>
      </c>
      <c r="D14">
        <v>0.85</v>
      </c>
      <c r="E14">
        <v>0.7</v>
      </c>
      <c r="F14">
        <v>0</v>
      </c>
      <c r="G14">
        <v>3.0700000000000003</v>
      </c>
      <c r="H14">
        <v>2.89</v>
      </c>
      <c r="I14" s="4">
        <f t="shared" si="0"/>
        <v>6.2283737024221502</v>
      </c>
      <c r="J14">
        <v>2.89</v>
      </c>
    </row>
    <row r="15" spans="1:10" x14ac:dyDescent="0.2">
      <c r="A15">
        <v>14</v>
      </c>
      <c r="B15">
        <v>0</v>
      </c>
      <c r="C15">
        <v>1.45</v>
      </c>
      <c r="D15">
        <v>1.08</v>
      </c>
      <c r="E15">
        <v>1.33</v>
      </c>
      <c r="F15">
        <v>0</v>
      </c>
      <c r="G15">
        <v>3.8600000000000003</v>
      </c>
      <c r="H15">
        <v>3.65</v>
      </c>
      <c r="I15" s="4">
        <f t="shared" si="0"/>
        <v>5.753424657534258</v>
      </c>
      <c r="J15">
        <v>3.65</v>
      </c>
    </row>
    <row r="16" spans="1:10" x14ac:dyDescent="0.2">
      <c r="A16">
        <v>15</v>
      </c>
      <c r="B16">
        <v>0.72</v>
      </c>
      <c r="C16">
        <v>0.74</v>
      </c>
      <c r="D16">
        <v>0</v>
      </c>
      <c r="E16">
        <v>2</v>
      </c>
      <c r="F16">
        <v>0</v>
      </c>
      <c r="G16">
        <v>3.46</v>
      </c>
      <c r="H16">
        <v>3.27</v>
      </c>
      <c r="I16" s="4">
        <f t="shared" si="0"/>
        <v>5.8103975535168173</v>
      </c>
      <c r="J16">
        <v>3.27</v>
      </c>
    </row>
    <row r="17" spans="1:10" x14ac:dyDescent="0.2">
      <c r="A17">
        <v>16</v>
      </c>
      <c r="B17">
        <v>0</v>
      </c>
      <c r="C17">
        <v>0</v>
      </c>
      <c r="D17">
        <v>1.39</v>
      </c>
      <c r="E17">
        <v>1.59</v>
      </c>
      <c r="F17">
        <v>0.5</v>
      </c>
      <c r="G17">
        <v>3.48</v>
      </c>
      <c r="H17">
        <v>3.34</v>
      </c>
      <c r="I17" s="4">
        <f t="shared" si="0"/>
        <v>4.19161676646707</v>
      </c>
      <c r="J17">
        <v>3.34</v>
      </c>
    </row>
    <row r="18" spans="1:10" x14ac:dyDescent="0.2">
      <c r="A18">
        <v>17</v>
      </c>
      <c r="B18">
        <v>0</v>
      </c>
      <c r="C18">
        <v>0</v>
      </c>
      <c r="D18">
        <v>0.61</v>
      </c>
      <c r="E18">
        <v>2.4</v>
      </c>
      <c r="F18">
        <v>0.51</v>
      </c>
      <c r="G18">
        <v>3.5199999999999996</v>
      </c>
      <c r="H18">
        <v>3.35</v>
      </c>
      <c r="I18" s="4">
        <f t="shared" si="0"/>
        <v>5.0746268656716262</v>
      </c>
      <c r="J18">
        <v>3.35</v>
      </c>
    </row>
    <row r="19" spans="1:10" x14ac:dyDescent="0.2">
      <c r="A19">
        <v>18</v>
      </c>
      <c r="B19">
        <v>0</v>
      </c>
      <c r="C19">
        <v>0.91</v>
      </c>
      <c r="D19">
        <v>0.7</v>
      </c>
      <c r="E19">
        <v>1.41</v>
      </c>
      <c r="F19">
        <v>0</v>
      </c>
      <c r="G19">
        <v>3.0199999999999996</v>
      </c>
      <c r="H19">
        <v>2.85</v>
      </c>
      <c r="I19" s="4">
        <f t="shared" si="0"/>
        <v>5.9649122807017365</v>
      </c>
      <c r="J19">
        <v>2.85</v>
      </c>
    </row>
    <row r="20" spans="1:10" x14ac:dyDescent="0.2">
      <c r="A20">
        <v>19</v>
      </c>
      <c r="B20">
        <v>0</v>
      </c>
      <c r="C20">
        <v>0.73</v>
      </c>
      <c r="D20">
        <v>1.24</v>
      </c>
      <c r="E20">
        <v>1.6</v>
      </c>
      <c r="F20">
        <v>0</v>
      </c>
      <c r="G20">
        <v>3.5700000000000003</v>
      </c>
      <c r="H20">
        <v>3.36</v>
      </c>
      <c r="I20" s="4">
        <f t="shared" si="0"/>
        <v>6.2500000000000124</v>
      </c>
      <c r="J20">
        <v>3.36</v>
      </c>
    </row>
    <row r="21" spans="1:10" x14ac:dyDescent="0.2">
      <c r="A21">
        <v>20</v>
      </c>
      <c r="B21">
        <v>0.54</v>
      </c>
      <c r="C21">
        <v>0.75</v>
      </c>
      <c r="D21">
        <v>0</v>
      </c>
      <c r="E21">
        <v>1.91</v>
      </c>
      <c r="F21">
        <v>0</v>
      </c>
      <c r="G21">
        <v>3.2</v>
      </c>
      <c r="H21">
        <v>2.98</v>
      </c>
      <c r="I21" s="4">
        <f t="shared" si="0"/>
        <v>7.3825503355704756</v>
      </c>
      <c r="J21">
        <v>2.98</v>
      </c>
    </row>
    <row r="22" spans="1:10" x14ac:dyDescent="0.2">
      <c r="A22">
        <v>21</v>
      </c>
      <c r="B22">
        <v>1.44</v>
      </c>
      <c r="C22">
        <v>0</v>
      </c>
      <c r="D22">
        <v>0.53</v>
      </c>
      <c r="E22">
        <v>0.9</v>
      </c>
      <c r="F22">
        <v>0.63</v>
      </c>
      <c r="G22">
        <v>3.5</v>
      </c>
      <c r="H22">
        <v>3.36</v>
      </c>
      <c r="I22" s="4">
        <f t="shared" si="0"/>
        <v>4.1666666666666705</v>
      </c>
      <c r="J22">
        <v>3.36</v>
      </c>
    </row>
    <row r="23" spans="1:10" x14ac:dyDescent="0.2">
      <c r="A23">
        <v>22</v>
      </c>
      <c r="B23">
        <v>0</v>
      </c>
      <c r="C23">
        <v>2.61</v>
      </c>
      <c r="D23">
        <v>1.85</v>
      </c>
      <c r="E23">
        <v>0</v>
      </c>
      <c r="F23">
        <v>0</v>
      </c>
      <c r="G23">
        <v>4.46</v>
      </c>
      <c r="H23">
        <v>4.13</v>
      </c>
      <c r="I23" s="4">
        <f t="shared" si="0"/>
        <v>7.9903147699757886</v>
      </c>
      <c r="J23">
        <v>4.13</v>
      </c>
    </row>
    <row r="24" spans="1:10" x14ac:dyDescent="0.2">
      <c r="A24">
        <v>23</v>
      </c>
      <c r="B24">
        <v>0</v>
      </c>
      <c r="C24">
        <v>1.68</v>
      </c>
      <c r="D24">
        <v>1.54</v>
      </c>
      <c r="E24">
        <v>0.94</v>
      </c>
      <c r="F24">
        <v>0</v>
      </c>
      <c r="G24">
        <v>4.16</v>
      </c>
      <c r="H24">
        <v>3.89</v>
      </c>
      <c r="I24" s="4">
        <f t="shared" si="0"/>
        <v>6.9408740359897179</v>
      </c>
      <c r="J24">
        <v>3.89</v>
      </c>
    </row>
    <row r="25" spans="1:10" x14ac:dyDescent="0.2">
      <c r="A25">
        <v>24</v>
      </c>
      <c r="B25">
        <v>0.8</v>
      </c>
      <c r="C25">
        <v>1</v>
      </c>
      <c r="D25">
        <v>0</v>
      </c>
      <c r="E25">
        <v>0.94</v>
      </c>
      <c r="F25">
        <v>1.02</v>
      </c>
      <c r="G25">
        <v>3.7600000000000002</v>
      </c>
      <c r="H25">
        <v>3.59</v>
      </c>
      <c r="I25" s="4">
        <f t="shared" si="0"/>
        <v>4.7353760445682553</v>
      </c>
      <c r="J25">
        <v>3.59</v>
      </c>
    </row>
    <row r="26" spans="1:10" x14ac:dyDescent="0.2">
      <c r="A26">
        <v>25</v>
      </c>
      <c r="B26">
        <v>0</v>
      </c>
      <c r="C26">
        <v>1.19</v>
      </c>
      <c r="D26">
        <v>0.7</v>
      </c>
      <c r="E26">
        <v>1.1100000000000001</v>
      </c>
      <c r="F26">
        <v>0.53</v>
      </c>
      <c r="G26">
        <v>3.5300000000000002</v>
      </c>
      <c r="H26">
        <v>3.35</v>
      </c>
      <c r="I26" s="4">
        <f t="shared" si="0"/>
        <v>5.3731343283582138</v>
      </c>
      <c r="J26">
        <v>3.35</v>
      </c>
    </row>
    <row r="27" spans="1:10" x14ac:dyDescent="0.2">
      <c r="A27">
        <v>26</v>
      </c>
      <c r="B27">
        <v>0</v>
      </c>
      <c r="C27">
        <v>1.85</v>
      </c>
      <c r="D27">
        <v>1.31</v>
      </c>
      <c r="E27">
        <v>0.79</v>
      </c>
      <c r="F27">
        <v>0</v>
      </c>
      <c r="G27">
        <v>3.95</v>
      </c>
      <c r="H27">
        <v>3.71</v>
      </c>
      <c r="I27" s="4">
        <f t="shared" si="0"/>
        <v>6.4690026954177959</v>
      </c>
      <c r="J27">
        <v>3.71</v>
      </c>
    </row>
    <row r="28" spans="1:10" x14ac:dyDescent="0.2">
      <c r="A28">
        <v>27</v>
      </c>
      <c r="B28">
        <v>0.75</v>
      </c>
      <c r="C28">
        <v>0.78</v>
      </c>
      <c r="D28">
        <v>0</v>
      </c>
      <c r="E28">
        <v>1.21</v>
      </c>
      <c r="F28">
        <v>0</v>
      </c>
      <c r="G28">
        <v>2.74</v>
      </c>
      <c r="H28">
        <v>2.58</v>
      </c>
      <c r="I28" s="4">
        <f t="shared" si="0"/>
        <v>6.2015503875969049</v>
      </c>
      <c r="J28">
        <v>2.58</v>
      </c>
    </row>
    <row r="29" spans="1:10" x14ac:dyDescent="0.2">
      <c r="A29">
        <v>28</v>
      </c>
      <c r="B29">
        <v>0</v>
      </c>
      <c r="C29">
        <v>2.67</v>
      </c>
      <c r="D29">
        <v>0</v>
      </c>
      <c r="E29">
        <v>1.35</v>
      </c>
      <c r="F29">
        <v>0.56000000000000005</v>
      </c>
      <c r="G29">
        <v>4.58</v>
      </c>
      <c r="H29">
        <v>4.33</v>
      </c>
      <c r="I29" s="4">
        <f t="shared" si="0"/>
        <v>5.7736720554272516</v>
      </c>
      <c r="J29">
        <v>4.33</v>
      </c>
    </row>
    <row r="30" spans="1:10" x14ac:dyDescent="0.2">
      <c r="A30">
        <v>29</v>
      </c>
      <c r="B30">
        <v>0</v>
      </c>
      <c r="C30">
        <v>1.81</v>
      </c>
      <c r="D30">
        <v>0</v>
      </c>
      <c r="E30">
        <v>1.42</v>
      </c>
      <c r="F30">
        <v>0.62</v>
      </c>
      <c r="G30">
        <v>3.85</v>
      </c>
      <c r="H30">
        <v>3.67</v>
      </c>
      <c r="I30" s="4">
        <f t="shared" si="0"/>
        <v>4.9046321525885599</v>
      </c>
      <c r="J30">
        <v>3.67</v>
      </c>
    </row>
    <row r="31" spans="1:10" x14ac:dyDescent="0.2">
      <c r="A31">
        <v>30</v>
      </c>
      <c r="B31">
        <v>0</v>
      </c>
      <c r="C31">
        <v>0</v>
      </c>
      <c r="D31">
        <v>1.95</v>
      </c>
      <c r="E31">
        <v>2.17</v>
      </c>
      <c r="F31">
        <v>0</v>
      </c>
      <c r="G31">
        <v>4.12</v>
      </c>
      <c r="H31">
        <v>3.93</v>
      </c>
      <c r="I31" s="4">
        <f t="shared" si="0"/>
        <v>4.8346055979643747</v>
      </c>
      <c r="J31">
        <v>3.93</v>
      </c>
    </row>
    <row r="32" spans="1:10" x14ac:dyDescent="0.2">
      <c r="A32">
        <v>31</v>
      </c>
      <c r="B32">
        <v>0.56999999999999995</v>
      </c>
      <c r="C32">
        <v>0.71</v>
      </c>
      <c r="D32">
        <v>0</v>
      </c>
      <c r="E32">
        <v>1.33</v>
      </c>
      <c r="F32">
        <v>0.36</v>
      </c>
      <c r="G32">
        <v>2.9699999999999998</v>
      </c>
      <c r="H32">
        <v>2.89</v>
      </c>
      <c r="I32" s="4">
        <f t="shared" si="0"/>
        <v>2.7681660899653848</v>
      </c>
      <c r="J32">
        <v>2.89</v>
      </c>
    </row>
    <row r="33" spans="1:10" x14ac:dyDescent="0.2">
      <c r="A33">
        <v>32</v>
      </c>
      <c r="B33">
        <v>0</v>
      </c>
      <c r="C33">
        <v>2.79</v>
      </c>
      <c r="D33">
        <v>0</v>
      </c>
      <c r="E33">
        <v>1.31</v>
      </c>
      <c r="F33">
        <v>0</v>
      </c>
      <c r="G33">
        <v>4.0999999999999996</v>
      </c>
      <c r="H33">
        <v>3.77</v>
      </c>
      <c r="I33" s="4">
        <f t="shared" si="0"/>
        <v>8.7533156498673641</v>
      </c>
      <c r="J33">
        <v>3.77</v>
      </c>
    </row>
    <row r="34" spans="1:10" x14ac:dyDescent="0.2">
      <c r="A34">
        <v>33</v>
      </c>
      <c r="B34">
        <v>0</v>
      </c>
      <c r="C34">
        <v>1.62</v>
      </c>
      <c r="D34">
        <v>1.2</v>
      </c>
      <c r="E34">
        <v>0</v>
      </c>
      <c r="F34">
        <v>1.1499999999999999</v>
      </c>
      <c r="G34">
        <v>3.97</v>
      </c>
      <c r="H34">
        <v>3.8</v>
      </c>
      <c r="I34" s="4">
        <f t="shared" si="0"/>
        <v>4.4736842105263257</v>
      </c>
      <c r="J34">
        <v>3.8</v>
      </c>
    </row>
    <row r="35" spans="1:10" x14ac:dyDescent="0.2">
      <c r="A35">
        <v>34</v>
      </c>
      <c r="B35">
        <v>0.62</v>
      </c>
      <c r="C35">
        <v>0</v>
      </c>
      <c r="D35">
        <v>0</v>
      </c>
      <c r="E35">
        <v>2.81</v>
      </c>
      <c r="F35">
        <v>0.56999999999999995</v>
      </c>
      <c r="G35">
        <v>4</v>
      </c>
      <c r="H35">
        <v>3.75</v>
      </c>
      <c r="I35" s="4">
        <f t="shared" si="0"/>
        <v>6.666666666666667</v>
      </c>
      <c r="J35">
        <v>3.75</v>
      </c>
    </row>
    <row r="36" spans="1:10" x14ac:dyDescent="0.2">
      <c r="A36">
        <v>35</v>
      </c>
      <c r="B36">
        <v>0</v>
      </c>
      <c r="C36">
        <v>1.97</v>
      </c>
      <c r="D36">
        <v>0.36</v>
      </c>
      <c r="E36">
        <v>0.73</v>
      </c>
      <c r="F36">
        <v>0</v>
      </c>
      <c r="G36">
        <v>3.06</v>
      </c>
      <c r="H36">
        <v>2.85</v>
      </c>
      <c r="I36" s="4">
        <f t="shared" si="0"/>
        <v>7.368421052631577</v>
      </c>
      <c r="J36">
        <v>2.85</v>
      </c>
    </row>
    <row r="37" spans="1:10" x14ac:dyDescent="0.2">
      <c r="A37">
        <v>36</v>
      </c>
      <c r="B37">
        <v>0.49</v>
      </c>
      <c r="C37">
        <v>1.31</v>
      </c>
      <c r="D37">
        <v>0</v>
      </c>
      <c r="E37">
        <v>0.83</v>
      </c>
      <c r="F37">
        <v>0.33</v>
      </c>
      <c r="G37">
        <v>2.96</v>
      </c>
      <c r="H37">
        <v>2.82</v>
      </c>
      <c r="I37" s="4">
        <f t="shared" si="0"/>
        <v>4.9645390070922026</v>
      </c>
      <c r="J37">
        <v>2.82</v>
      </c>
    </row>
    <row r="38" spans="1:10" x14ac:dyDescent="0.2">
      <c r="A38">
        <v>37</v>
      </c>
      <c r="B38">
        <v>0.62</v>
      </c>
      <c r="C38">
        <v>0</v>
      </c>
      <c r="D38">
        <v>0</v>
      </c>
      <c r="E38">
        <v>2.36</v>
      </c>
      <c r="F38">
        <v>0.89</v>
      </c>
      <c r="G38">
        <v>3.87</v>
      </c>
      <c r="H38">
        <v>3.73</v>
      </c>
      <c r="I38" s="4">
        <f t="shared" si="0"/>
        <v>3.7533512064343197</v>
      </c>
      <c r="J38">
        <v>3.73</v>
      </c>
    </row>
    <row r="39" spans="1:10" x14ac:dyDescent="0.2">
      <c r="A39">
        <v>38</v>
      </c>
      <c r="B39">
        <v>0</v>
      </c>
      <c r="C39">
        <v>0.86</v>
      </c>
      <c r="D39">
        <v>0</v>
      </c>
      <c r="E39">
        <v>2.74</v>
      </c>
      <c r="F39">
        <v>0</v>
      </c>
      <c r="G39">
        <v>3.6</v>
      </c>
      <c r="H39">
        <v>3.39</v>
      </c>
      <c r="I39" s="4">
        <f t="shared" si="0"/>
        <v>6.1946902654867237</v>
      </c>
      <c r="J39">
        <v>3.39</v>
      </c>
    </row>
    <row r="40" spans="1:10" x14ac:dyDescent="0.2">
      <c r="A40">
        <v>39</v>
      </c>
      <c r="B40">
        <v>0</v>
      </c>
      <c r="C40">
        <v>0.51</v>
      </c>
      <c r="D40">
        <v>0.8</v>
      </c>
      <c r="E40">
        <v>1.48</v>
      </c>
      <c r="F40">
        <v>0.22</v>
      </c>
      <c r="G40">
        <v>3.0100000000000002</v>
      </c>
      <c r="H40">
        <v>2.79</v>
      </c>
      <c r="I40" s="4">
        <f t="shared" si="0"/>
        <v>7.8853046594982139</v>
      </c>
      <c r="J40">
        <v>2.79</v>
      </c>
    </row>
    <row r="41" spans="1:10" x14ac:dyDescent="0.2">
      <c r="A41">
        <v>40</v>
      </c>
      <c r="B41">
        <v>0.76</v>
      </c>
      <c r="C41">
        <v>0.83</v>
      </c>
      <c r="D41">
        <v>0</v>
      </c>
      <c r="E41">
        <v>2.78</v>
      </c>
      <c r="F41">
        <v>0</v>
      </c>
      <c r="G41">
        <v>4.3699999999999992</v>
      </c>
      <c r="H41">
        <v>4.09</v>
      </c>
      <c r="I41" s="4">
        <f t="shared" si="0"/>
        <v>6.8459657701711336</v>
      </c>
      <c r="J41">
        <v>4.09</v>
      </c>
    </row>
    <row r="42" spans="1:10" x14ac:dyDescent="0.2">
      <c r="A42">
        <v>41</v>
      </c>
      <c r="B42">
        <v>0</v>
      </c>
      <c r="C42">
        <v>0</v>
      </c>
      <c r="D42">
        <v>2.2200000000000002</v>
      </c>
      <c r="E42">
        <v>1.28</v>
      </c>
      <c r="F42">
        <v>0</v>
      </c>
      <c r="G42">
        <v>3.5</v>
      </c>
      <c r="H42">
        <v>3.29</v>
      </c>
      <c r="I42" s="4">
        <f t="shared" si="0"/>
        <v>6.3829787234042552</v>
      </c>
      <c r="J42">
        <v>3.29</v>
      </c>
    </row>
    <row r="43" spans="1:10" x14ac:dyDescent="0.2">
      <c r="A43">
        <v>42</v>
      </c>
      <c r="B43">
        <v>0</v>
      </c>
      <c r="C43">
        <v>0</v>
      </c>
      <c r="D43">
        <v>0</v>
      </c>
      <c r="E43">
        <v>2.5</v>
      </c>
      <c r="F43">
        <v>1.41</v>
      </c>
      <c r="G43">
        <v>3.91</v>
      </c>
      <c r="H43">
        <v>3.67</v>
      </c>
      <c r="I43" s="4">
        <f t="shared" si="0"/>
        <v>6.5395095367847471</v>
      </c>
      <c r="J43">
        <v>3.67</v>
      </c>
    </row>
    <row r="44" spans="1:10" x14ac:dyDescent="0.2">
      <c r="A44">
        <v>43</v>
      </c>
      <c r="B44">
        <v>1.19</v>
      </c>
      <c r="C44">
        <v>0</v>
      </c>
      <c r="D44">
        <v>0.98</v>
      </c>
      <c r="E44">
        <v>2.16</v>
      </c>
      <c r="F44">
        <v>0.5</v>
      </c>
      <c r="G44">
        <v>4.83</v>
      </c>
      <c r="H44">
        <v>4.59</v>
      </c>
      <c r="I44" s="4">
        <f t="shared" si="0"/>
        <v>5.2287581699346459</v>
      </c>
      <c r="J44">
        <v>4.59</v>
      </c>
    </row>
    <row r="45" spans="1:10" x14ac:dyDescent="0.2">
      <c r="A45">
        <v>44</v>
      </c>
      <c r="B45">
        <v>0</v>
      </c>
      <c r="C45">
        <v>1.1299999999999999</v>
      </c>
      <c r="D45">
        <v>1.59</v>
      </c>
      <c r="E45">
        <v>1.39</v>
      </c>
      <c r="F45">
        <v>0</v>
      </c>
      <c r="G45">
        <v>4.1099999999999994</v>
      </c>
      <c r="H45">
        <v>3.83</v>
      </c>
      <c r="I45" s="4">
        <f t="shared" si="0"/>
        <v>7.3107049608354933</v>
      </c>
      <c r="J45">
        <v>3.83</v>
      </c>
    </row>
    <row r="46" spans="1:10" x14ac:dyDescent="0.2">
      <c r="A46">
        <v>45</v>
      </c>
      <c r="B46">
        <v>0.71</v>
      </c>
      <c r="C46">
        <v>0.79</v>
      </c>
      <c r="D46">
        <v>0</v>
      </c>
      <c r="E46">
        <v>1.38</v>
      </c>
      <c r="F46">
        <v>0</v>
      </c>
      <c r="G46">
        <v>2.88</v>
      </c>
      <c r="H46">
        <v>2.71</v>
      </c>
      <c r="I46" s="4">
        <f t="shared" si="0"/>
        <v>6.273062730627303</v>
      </c>
      <c r="J46">
        <v>2.71</v>
      </c>
    </row>
    <row r="47" spans="1:10" x14ac:dyDescent="0.2">
      <c r="A47">
        <v>46</v>
      </c>
      <c r="B47">
        <v>0</v>
      </c>
      <c r="C47">
        <v>0</v>
      </c>
      <c r="D47">
        <v>1.42</v>
      </c>
      <c r="E47">
        <v>2.2999999999999998</v>
      </c>
      <c r="F47">
        <v>0</v>
      </c>
      <c r="G47">
        <v>3.7199999999999998</v>
      </c>
      <c r="H47">
        <v>3.49</v>
      </c>
      <c r="I47" s="4">
        <f t="shared" si="0"/>
        <v>6.5902578796561473</v>
      </c>
      <c r="J47">
        <v>3.49</v>
      </c>
    </row>
    <row r="48" spans="1:10" x14ac:dyDescent="0.2">
      <c r="A48">
        <v>47</v>
      </c>
      <c r="B48">
        <v>0</v>
      </c>
      <c r="C48">
        <v>0</v>
      </c>
      <c r="D48">
        <v>1.64</v>
      </c>
      <c r="E48">
        <v>1.44</v>
      </c>
      <c r="F48">
        <v>0</v>
      </c>
      <c r="G48">
        <v>3.08</v>
      </c>
      <c r="H48">
        <v>2.89</v>
      </c>
      <c r="I48" s="4">
        <f t="shared" si="0"/>
        <v>6.5743944636678178</v>
      </c>
      <c r="J48">
        <v>2.89</v>
      </c>
    </row>
    <row r="49" spans="1:12" x14ac:dyDescent="0.2">
      <c r="A49">
        <v>48</v>
      </c>
      <c r="B49">
        <v>0</v>
      </c>
      <c r="C49">
        <v>0</v>
      </c>
      <c r="D49">
        <v>2.87</v>
      </c>
      <c r="E49">
        <v>0.95</v>
      </c>
      <c r="F49">
        <v>0</v>
      </c>
      <c r="G49">
        <v>3.8200000000000003</v>
      </c>
      <c r="H49">
        <v>3.6</v>
      </c>
      <c r="I49" s="4">
        <f t="shared" si="0"/>
        <v>6.111111111111116</v>
      </c>
      <c r="J49">
        <v>3.6</v>
      </c>
    </row>
    <row r="50" spans="1:12" x14ac:dyDescent="0.2">
      <c r="A50">
        <v>49</v>
      </c>
      <c r="B50">
        <v>0</v>
      </c>
      <c r="C50">
        <v>1</v>
      </c>
      <c r="D50">
        <v>1.3</v>
      </c>
      <c r="E50">
        <v>0.7</v>
      </c>
      <c r="F50">
        <v>0.4</v>
      </c>
      <c r="G50">
        <v>3.4</v>
      </c>
      <c r="H50">
        <v>3.17</v>
      </c>
      <c r="I50" s="4">
        <f t="shared" si="0"/>
        <v>7.2555205047318605</v>
      </c>
      <c r="J50">
        <v>3.17</v>
      </c>
    </row>
    <row r="51" spans="1:12" x14ac:dyDescent="0.2">
      <c r="A51">
        <v>50</v>
      </c>
      <c r="B51">
        <v>0</v>
      </c>
      <c r="C51">
        <v>0</v>
      </c>
      <c r="D51">
        <v>2.95</v>
      </c>
      <c r="E51">
        <v>1.01</v>
      </c>
      <c r="F51">
        <v>0.42</v>
      </c>
      <c r="G51">
        <v>4.38</v>
      </c>
      <c r="H51">
        <v>4.12</v>
      </c>
      <c r="I51" s="4">
        <f t="shared" si="0"/>
        <v>6.31067961165048</v>
      </c>
      <c r="J51">
        <v>4.12</v>
      </c>
    </row>
    <row r="52" spans="1:12" x14ac:dyDescent="0.2">
      <c r="A52">
        <v>51</v>
      </c>
      <c r="B52">
        <v>0</v>
      </c>
      <c r="C52">
        <v>0.89</v>
      </c>
      <c r="D52">
        <v>1.61</v>
      </c>
      <c r="E52">
        <v>1.21</v>
      </c>
      <c r="F52">
        <v>0</v>
      </c>
      <c r="G52" s="35">
        <v>3.71</v>
      </c>
      <c r="H52" s="35">
        <v>2.62</v>
      </c>
      <c r="I52" s="36">
        <f t="shared" si="0"/>
        <v>41.603053435114496</v>
      </c>
      <c r="J52" s="35">
        <f>G52-G52*0.06</f>
        <v>3.4874000000000001</v>
      </c>
      <c r="L52" s="4"/>
    </row>
    <row r="53" spans="1:12" x14ac:dyDescent="0.2">
      <c r="A53">
        <v>52</v>
      </c>
      <c r="B53">
        <v>0</v>
      </c>
      <c r="C53">
        <v>0.71</v>
      </c>
      <c r="D53">
        <v>1.72</v>
      </c>
      <c r="E53">
        <v>0.91</v>
      </c>
      <c r="F53">
        <v>0</v>
      </c>
      <c r="G53">
        <v>3.34</v>
      </c>
      <c r="H53">
        <v>3.11</v>
      </c>
      <c r="I53" s="4">
        <f t="shared" si="0"/>
        <v>7.395498392282958</v>
      </c>
      <c r="J53">
        <v>3.11</v>
      </c>
    </row>
    <row r="54" spans="1:12" x14ac:dyDescent="0.2">
      <c r="A54">
        <v>53</v>
      </c>
      <c r="B54">
        <v>0</v>
      </c>
      <c r="C54">
        <v>1.3</v>
      </c>
      <c r="D54">
        <v>2</v>
      </c>
      <c r="E54">
        <v>0.84</v>
      </c>
      <c r="F54">
        <v>0</v>
      </c>
      <c r="G54">
        <v>4.1399999999999997</v>
      </c>
      <c r="H54">
        <v>3.84</v>
      </c>
      <c r="I54" s="4">
        <f t="shared" si="0"/>
        <v>7.8124999999999956</v>
      </c>
      <c r="J54">
        <v>3.84</v>
      </c>
    </row>
    <row r="55" spans="1:12" x14ac:dyDescent="0.2">
      <c r="A55">
        <v>54</v>
      </c>
      <c r="B55">
        <v>0</v>
      </c>
      <c r="C55">
        <v>1.79</v>
      </c>
      <c r="D55">
        <v>0</v>
      </c>
      <c r="E55">
        <v>1.76</v>
      </c>
      <c r="F55">
        <v>0</v>
      </c>
      <c r="G55">
        <v>3.55</v>
      </c>
      <c r="H55">
        <v>3.33</v>
      </c>
      <c r="I55" s="4">
        <f t="shared" si="0"/>
        <v>6.6066066066065989</v>
      </c>
      <c r="J55">
        <v>3.33</v>
      </c>
    </row>
    <row r="56" spans="1:12" x14ac:dyDescent="0.2">
      <c r="A56">
        <v>55</v>
      </c>
      <c r="B56">
        <v>0.56000000000000005</v>
      </c>
      <c r="C56">
        <v>0.85</v>
      </c>
      <c r="D56">
        <v>0</v>
      </c>
      <c r="E56">
        <v>1.52</v>
      </c>
      <c r="F56">
        <v>0.55000000000000004</v>
      </c>
      <c r="G56">
        <v>3.4800000000000004</v>
      </c>
      <c r="H56">
        <v>3.27</v>
      </c>
      <c r="I56" s="4">
        <f t="shared" si="0"/>
        <v>6.4220183486238662</v>
      </c>
      <c r="J56">
        <v>3.27</v>
      </c>
    </row>
    <row r="57" spans="1:12" x14ac:dyDescent="0.2">
      <c r="A57">
        <v>56</v>
      </c>
      <c r="B57">
        <v>0.81</v>
      </c>
      <c r="C57">
        <v>0</v>
      </c>
      <c r="D57">
        <v>0.81</v>
      </c>
      <c r="E57">
        <v>1.42</v>
      </c>
      <c r="F57">
        <v>0</v>
      </c>
      <c r="G57">
        <v>3.04</v>
      </c>
      <c r="H57">
        <v>2.85</v>
      </c>
      <c r="I57" s="4">
        <f t="shared" si="0"/>
        <v>6.6666666666666652</v>
      </c>
      <c r="J57">
        <v>2.85</v>
      </c>
    </row>
    <row r="58" spans="1:12" x14ac:dyDescent="0.2">
      <c r="A58">
        <v>57</v>
      </c>
      <c r="B58">
        <v>0</v>
      </c>
      <c r="C58">
        <v>0.79</v>
      </c>
      <c r="D58">
        <v>2.37</v>
      </c>
      <c r="E58">
        <v>0.54</v>
      </c>
      <c r="F58">
        <v>0</v>
      </c>
      <c r="G58">
        <v>3.7</v>
      </c>
      <c r="H58">
        <v>3.42</v>
      </c>
      <c r="I58" s="4">
        <f t="shared" si="0"/>
        <v>8.1871345029239837</v>
      </c>
      <c r="J58">
        <v>3.42</v>
      </c>
    </row>
    <row r="59" spans="1:12" x14ac:dyDescent="0.2">
      <c r="A59">
        <v>58</v>
      </c>
      <c r="B59">
        <v>0</v>
      </c>
      <c r="C59">
        <v>1.55</v>
      </c>
      <c r="D59">
        <v>0.193</v>
      </c>
      <c r="E59">
        <v>0</v>
      </c>
      <c r="F59">
        <v>1.02</v>
      </c>
      <c r="G59" s="35">
        <v>2.7629999999999999</v>
      </c>
      <c r="H59" s="35">
        <v>4.24</v>
      </c>
      <c r="I59" s="36">
        <f t="shared" si="0"/>
        <v>-34.834905660377366</v>
      </c>
      <c r="J59" s="35">
        <f>G59-G59*0.06</f>
        <v>2.5972200000000001</v>
      </c>
    </row>
    <row r="60" spans="1:12" x14ac:dyDescent="0.2">
      <c r="A60">
        <v>59</v>
      </c>
      <c r="B60">
        <v>0.96</v>
      </c>
      <c r="C60">
        <v>0.89</v>
      </c>
      <c r="D60">
        <v>0</v>
      </c>
      <c r="E60">
        <v>1.55</v>
      </c>
      <c r="F60">
        <v>0</v>
      </c>
      <c r="G60" s="35">
        <v>3.4000000000000004</v>
      </c>
      <c r="H60" s="35">
        <v>4</v>
      </c>
      <c r="I60" s="36">
        <f t="shared" si="0"/>
        <v>-14.999999999999991</v>
      </c>
      <c r="J60" s="35">
        <f>G60-G60*0.06</f>
        <v>3.1960000000000002</v>
      </c>
    </row>
    <row r="61" spans="1:12" x14ac:dyDescent="0.2">
      <c r="A61">
        <v>60</v>
      </c>
      <c r="B61">
        <v>0</v>
      </c>
      <c r="C61">
        <v>1.5</v>
      </c>
      <c r="D61">
        <v>0</v>
      </c>
      <c r="E61">
        <v>1.27</v>
      </c>
      <c r="F61">
        <v>0.31</v>
      </c>
      <c r="G61">
        <v>3.08</v>
      </c>
      <c r="H61">
        <v>2.9</v>
      </c>
      <c r="I61" s="4">
        <f t="shared" si="0"/>
        <v>6.2068965517241432</v>
      </c>
      <c r="J61">
        <v>2.9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1"/>
  <sheetViews>
    <sheetView topLeftCell="F36" zoomScale="115" zoomScaleNormal="115" workbookViewId="0">
      <selection activeCell="Q1" sqref="Q1:Q61"/>
    </sheetView>
  </sheetViews>
  <sheetFormatPr baseColWidth="10" defaultColWidth="8.83203125" defaultRowHeight="15" x14ac:dyDescent="0.2"/>
  <sheetData>
    <row r="1" spans="1:24" s="33" customFormat="1" ht="45" x14ac:dyDescent="0.2">
      <c r="A1" s="32" t="s">
        <v>63</v>
      </c>
      <c r="B1" s="32" t="s">
        <v>70</v>
      </c>
      <c r="C1" s="32" t="s">
        <v>71</v>
      </c>
      <c r="D1" s="32" t="s">
        <v>72</v>
      </c>
      <c r="E1" s="32" t="s">
        <v>73</v>
      </c>
      <c r="F1" s="32" t="s">
        <v>81</v>
      </c>
      <c r="G1" s="32" t="s">
        <v>82</v>
      </c>
      <c r="H1" s="33" t="s">
        <v>174</v>
      </c>
      <c r="I1" s="33" t="s">
        <v>175</v>
      </c>
      <c r="J1" s="32" t="s">
        <v>83</v>
      </c>
      <c r="K1" s="32" t="s">
        <v>51</v>
      </c>
      <c r="L1" s="32" t="s">
        <v>85</v>
      </c>
      <c r="M1" s="32" t="s">
        <v>179</v>
      </c>
      <c r="N1" s="32" t="s">
        <v>99</v>
      </c>
      <c r="O1" s="32" t="s">
        <v>176</v>
      </c>
      <c r="P1" s="32" t="s">
        <v>178</v>
      </c>
      <c r="Q1" s="32" t="s">
        <v>100</v>
      </c>
      <c r="R1" s="32" t="s">
        <v>168</v>
      </c>
      <c r="S1" s="32" t="s">
        <v>169</v>
      </c>
      <c r="T1" s="33" t="s">
        <v>170</v>
      </c>
      <c r="U1" s="33" t="s">
        <v>171</v>
      </c>
      <c r="V1" s="33" t="s">
        <v>180</v>
      </c>
      <c r="W1" s="33" t="s">
        <v>181</v>
      </c>
      <c r="X1" s="33" t="s">
        <v>182</v>
      </c>
    </row>
    <row r="2" spans="1:24" x14ac:dyDescent="0.2">
      <c r="A2" s="22">
        <v>1</v>
      </c>
      <c r="B2" s="22">
        <v>1</v>
      </c>
      <c r="C2" s="22" t="s">
        <v>74</v>
      </c>
      <c r="D2" s="22" t="s">
        <v>75</v>
      </c>
      <c r="E2" s="22" t="s">
        <v>76</v>
      </c>
      <c r="F2">
        <v>28.7</v>
      </c>
      <c r="G2">
        <v>25.503</v>
      </c>
      <c r="H2">
        <v>2.7090000000000001</v>
      </c>
      <c r="I2">
        <v>4.1630000000000003</v>
      </c>
      <c r="J2">
        <v>0.16500000000000001</v>
      </c>
      <c r="K2">
        <v>10.45</v>
      </c>
      <c r="L2">
        <v>126</v>
      </c>
      <c r="M2">
        <v>31.17</v>
      </c>
      <c r="N2">
        <v>40.200000000000003</v>
      </c>
      <c r="O2">
        <v>39.07</v>
      </c>
      <c r="P2">
        <f>(N2-O2)/(O2-M2)</f>
        <v>0.14303797468354465</v>
      </c>
      <c r="Q2">
        <v>296.02</v>
      </c>
      <c r="R2" s="11">
        <v>3.8439472174411939E-2</v>
      </c>
      <c r="S2" s="11">
        <v>0.61472915398660988</v>
      </c>
      <c r="T2" s="34">
        <v>2.8908554572271381</v>
      </c>
      <c r="U2" s="34">
        <v>0.24075161479741636</v>
      </c>
      <c r="V2">
        <f>K2/(1+P2)</f>
        <v>9.1423034330011035</v>
      </c>
      <c r="W2">
        <f>(T2*((K2-V2)+25))/V2</f>
        <v>8.3186637530821077</v>
      </c>
      <c r="X2">
        <f>(U2*((K2-V2)+25))/V2</f>
        <v>0.69278169079828078</v>
      </c>
    </row>
    <row r="3" spans="1:24" x14ac:dyDescent="0.2">
      <c r="A3" s="22">
        <v>2</v>
      </c>
      <c r="B3" s="22">
        <v>1</v>
      </c>
      <c r="C3" s="22" t="s">
        <v>77</v>
      </c>
      <c r="D3" s="22" t="s">
        <v>75</v>
      </c>
      <c r="E3" s="22" t="s">
        <v>76</v>
      </c>
      <c r="F3">
        <v>28.5</v>
      </c>
      <c r="G3">
        <v>24.88</v>
      </c>
      <c r="H3">
        <v>2.3879999999999999</v>
      </c>
      <c r="I3">
        <v>4.4329999999999998</v>
      </c>
      <c r="J3">
        <v>0.20899999999999999</v>
      </c>
      <c r="K3">
        <v>10.29</v>
      </c>
      <c r="L3">
        <v>41</v>
      </c>
      <c r="M3">
        <v>30.81</v>
      </c>
      <c r="N3">
        <v>41.26</v>
      </c>
      <c r="O3">
        <v>40.07</v>
      </c>
      <c r="P3">
        <f t="shared" ref="P3:P61" si="0">(N3-O3)/(O3-M3)</f>
        <v>0.12850971922246193</v>
      </c>
      <c r="Q3">
        <v>308.86</v>
      </c>
      <c r="R3" s="11">
        <v>4.4176706827309245E-2</v>
      </c>
      <c r="S3" s="11">
        <v>0.9738283627510651</v>
      </c>
      <c r="T3" s="34">
        <v>0.41297935103244832</v>
      </c>
      <c r="U3" s="34">
        <v>0.21432765707574869</v>
      </c>
      <c r="V3">
        <f t="shared" ref="V3:V61" si="1">K3/(1+P3)</f>
        <v>9.1182200956937809</v>
      </c>
      <c r="W3">
        <f t="shared" ref="W3:W61" si="2">(T3*((K3-V3)+25))/V3</f>
        <v>1.1853634335223922</v>
      </c>
      <c r="X3">
        <f t="shared" ref="X3:X61" si="3">(U3*((K3-V3)+25))/V3</f>
        <v>0.61517886270821753</v>
      </c>
    </row>
    <row r="4" spans="1:24" x14ac:dyDescent="0.2">
      <c r="A4" s="22">
        <v>3</v>
      </c>
      <c r="B4" s="22">
        <v>1</v>
      </c>
      <c r="C4" s="22" t="s">
        <v>74</v>
      </c>
      <c r="D4" s="22" t="s">
        <v>78</v>
      </c>
      <c r="E4" s="22" t="s">
        <v>76</v>
      </c>
      <c r="F4">
        <v>35.200000000000003</v>
      </c>
      <c r="G4">
        <v>24.1</v>
      </c>
      <c r="H4">
        <v>2.1070000000000002</v>
      </c>
      <c r="I4">
        <v>4.8949999999999996</v>
      </c>
      <c r="J4">
        <v>0.17399999999999999</v>
      </c>
      <c r="K4">
        <v>10.52</v>
      </c>
      <c r="L4">
        <v>50</v>
      </c>
      <c r="M4">
        <v>31.35</v>
      </c>
      <c r="N4">
        <v>39.049999999999997</v>
      </c>
      <c r="O4">
        <v>37.47</v>
      </c>
      <c r="P4">
        <f t="shared" si="0"/>
        <v>0.25816993464052268</v>
      </c>
      <c r="Q4">
        <v>318.69</v>
      </c>
      <c r="R4" s="11">
        <v>4.4176706827309245E-2</v>
      </c>
      <c r="S4" s="11">
        <v>2.6841144248326234</v>
      </c>
      <c r="T4" s="34">
        <v>2.3156342182890852</v>
      </c>
      <c r="U4" s="34">
        <v>0.27304756312389888</v>
      </c>
      <c r="V4">
        <f t="shared" si="1"/>
        <v>8.3613506493506513</v>
      </c>
      <c r="W4">
        <f t="shared" si="2"/>
        <v>7.521452023275967</v>
      </c>
      <c r="X4">
        <f t="shared" si="3"/>
        <v>0.88689056755527462</v>
      </c>
    </row>
    <row r="5" spans="1:24" x14ac:dyDescent="0.2">
      <c r="A5" s="22">
        <v>4</v>
      </c>
      <c r="B5" s="22">
        <v>1</v>
      </c>
      <c r="C5" s="22" t="s">
        <v>77</v>
      </c>
      <c r="D5" s="22" t="s">
        <v>78</v>
      </c>
      <c r="E5" s="22" t="s">
        <v>76</v>
      </c>
      <c r="F5">
        <v>35.6</v>
      </c>
      <c r="G5">
        <v>30.815000000000001</v>
      </c>
      <c r="H5">
        <v>2.851</v>
      </c>
      <c r="I5">
        <v>5.1609999999999996</v>
      </c>
      <c r="J5">
        <v>0.159</v>
      </c>
      <c r="K5">
        <v>10.31</v>
      </c>
      <c r="L5">
        <v>58</v>
      </c>
      <c r="M5">
        <v>31.59</v>
      </c>
      <c r="N5">
        <v>39.659999999999997</v>
      </c>
      <c r="O5">
        <v>38.03</v>
      </c>
      <c r="P5">
        <f t="shared" si="0"/>
        <v>0.25310559006211103</v>
      </c>
      <c r="Q5">
        <v>314.58999999999997</v>
      </c>
      <c r="R5" s="11">
        <v>3.2702237521514632E-2</v>
      </c>
      <c r="S5" s="11">
        <v>0.89470480827754106</v>
      </c>
      <c r="T5" s="34">
        <v>3.4513274336283186</v>
      </c>
      <c r="U5" s="34">
        <v>0.6165590135055784</v>
      </c>
      <c r="V5">
        <f t="shared" si="1"/>
        <v>8.2275588599752218</v>
      </c>
      <c r="W5">
        <f t="shared" si="2"/>
        <v>11.360644593003034</v>
      </c>
      <c r="X5">
        <f t="shared" si="3"/>
        <v>2.0295112410373997</v>
      </c>
    </row>
    <row r="6" spans="1:24" x14ac:dyDescent="0.2">
      <c r="A6" s="22">
        <v>5</v>
      </c>
      <c r="B6" s="22">
        <v>1</v>
      </c>
      <c r="C6" s="22" t="s">
        <v>74</v>
      </c>
      <c r="D6" s="22" t="s">
        <v>79</v>
      </c>
      <c r="E6" s="22" t="s">
        <v>76</v>
      </c>
      <c r="F6">
        <v>38.9</v>
      </c>
      <c r="G6">
        <v>21.314</v>
      </c>
      <c r="H6">
        <v>2.1659999999999999</v>
      </c>
      <c r="I6">
        <v>4.7549999999999999</v>
      </c>
      <c r="J6">
        <v>0.30099999999999999</v>
      </c>
      <c r="K6">
        <v>10.52</v>
      </c>
      <c r="L6" t="s">
        <v>86</v>
      </c>
      <c r="M6">
        <v>31.44</v>
      </c>
      <c r="N6">
        <v>40.229999999999997</v>
      </c>
      <c r="O6">
        <v>38.26</v>
      </c>
      <c r="P6">
        <f t="shared" si="0"/>
        <v>0.28885630498533721</v>
      </c>
      <c r="Q6">
        <v>501.84000000000003</v>
      </c>
      <c r="R6" s="11">
        <v>1.5490533562822725E-2</v>
      </c>
      <c r="S6" s="11">
        <v>-2.4345709068776651E-2</v>
      </c>
      <c r="T6" s="34">
        <v>5.1622418879056049</v>
      </c>
      <c r="U6" s="34">
        <v>0.19083969465648856</v>
      </c>
      <c r="V6">
        <f t="shared" si="1"/>
        <v>8.1622753128555168</v>
      </c>
      <c r="W6">
        <f t="shared" si="2"/>
        <v>17.302429399230729</v>
      </c>
      <c r="X6">
        <f t="shared" si="3"/>
        <v>0.63964270080035091</v>
      </c>
    </row>
    <row r="7" spans="1:24" x14ac:dyDescent="0.2">
      <c r="A7" s="22">
        <v>6</v>
      </c>
      <c r="B7" s="22">
        <v>1</v>
      </c>
      <c r="C7" s="22" t="s">
        <v>77</v>
      </c>
      <c r="D7" s="22" t="s">
        <v>79</v>
      </c>
      <c r="E7" s="22" t="s">
        <v>76</v>
      </c>
      <c r="F7">
        <v>42</v>
      </c>
      <c r="G7">
        <v>25.978999999999999</v>
      </c>
      <c r="H7">
        <v>2.7629999999999999</v>
      </c>
      <c r="I7">
        <v>6.5860000000000003</v>
      </c>
      <c r="J7">
        <v>0.42099999999999999</v>
      </c>
      <c r="K7">
        <v>10.61</v>
      </c>
      <c r="L7">
        <v>59</v>
      </c>
      <c r="M7">
        <v>30.98</v>
      </c>
      <c r="N7">
        <v>41.36</v>
      </c>
      <c r="O7">
        <v>39.06</v>
      </c>
      <c r="P7">
        <f t="shared" si="0"/>
        <v>0.28465346534653424</v>
      </c>
      <c r="Q7">
        <v>356.64</v>
      </c>
      <c r="R7" s="11">
        <v>2.4096385542168686E-2</v>
      </c>
      <c r="S7" s="11">
        <v>2.3797930614729155</v>
      </c>
      <c r="T7" s="34">
        <v>1.6076696165191739</v>
      </c>
      <c r="U7" s="34">
        <v>0.77216676453317679</v>
      </c>
      <c r="V7">
        <f t="shared" si="1"/>
        <v>8.2590366088631999</v>
      </c>
      <c r="W7">
        <f t="shared" si="2"/>
        <v>5.3240244484775587</v>
      </c>
      <c r="X7">
        <f t="shared" si="3"/>
        <v>2.5571390355547083</v>
      </c>
    </row>
    <row r="8" spans="1:24" x14ac:dyDescent="0.2">
      <c r="A8" s="22">
        <v>7</v>
      </c>
      <c r="B8" s="22">
        <v>1</v>
      </c>
      <c r="C8" s="22" t="s">
        <v>74</v>
      </c>
      <c r="D8" s="22" t="s">
        <v>75</v>
      </c>
      <c r="E8" s="22" t="s">
        <v>80</v>
      </c>
      <c r="F8">
        <v>27.7</v>
      </c>
      <c r="G8">
        <v>23.742999999999999</v>
      </c>
      <c r="H8">
        <v>2.504</v>
      </c>
      <c r="I8">
        <v>4.6399999999999997</v>
      </c>
      <c r="J8">
        <v>0.27900000000000003</v>
      </c>
      <c r="K8">
        <v>10.15</v>
      </c>
      <c r="L8">
        <v>125</v>
      </c>
      <c r="M8">
        <v>31.25</v>
      </c>
      <c r="N8">
        <v>41.41</v>
      </c>
      <c r="O8">
        <v>40.25</v>
      </c>
      <c r="P8">
        <f t="shared" si="0"/>
        <v>0.1288888888888885</v>
      </c>
      <c r="Q8">
        <v>293.58999999999997</v>
      </c>
      <c r="R8" s="11">
        <v>3.12679288582903E-2</v>
      </c>
      <c r="S8" s="11">
        <v>1.734631771150335</v>
      </c>
      <c r="T8" s="34">
        <v>11.622418879056049</v>
      </c>
      <c r="U8" s="34">
        <v>0.51673517322372275</v>
      </c>
      <c r="V8">
        <f t="shared" si="1"/>
        <v>8.9911417322834666</v>
      </c>
      <c r="W8">
        <f t="shared" si="2"/>
        <v>33.814304927884415</v>
      </c>
      <c r="X8">
        <f t="shared" si="3"/>
        <v>1.5033910665392627</v>
      </c>
    </row>
    <row r="9" spans="1:24" x14ac:dyDescent="0.2">
      <c r="A9" s="22">
        <v>8</v>
      </c>
      <c r="B9" s="22">
        <v>1</v>
      </c>
      <c r="C9" s="22" t="s">
        <v>77</v>
      </c>
      <c r="D9" s="22" t="s">
        <v>75</v>
      </c>
      <c r="E9" s="22" t="s">
        <v>80</v>
      </c>
      <c r="F9">
        <v>30.9</v>
      </c>
      <c r="G9">
        <v>23.157</v>
      </c>
      <c r="H9">
        <v>1.9079999999999999</v>
      </c>
      <c r="I9">
        <v>4.3150000000000004</v>
      </c>
      <c r="J9">
        <v>0.25600000000000001</v>
      </c>
      <c r="K9">
        <v>10.73</v>
      </c>
      <c r="L9">
        <v>56</v>
      </c>
      <c r="M9">
        <v>31.03</v>
      </c>
      <c r="N9">
        <v>41.56</v>
      </c>
      <c r="O9">
        <v>40.479999999999997</v>
      </c>
      <c r="P9">
        <f t="shared" si="0"/>
        <v>0.11428571428571491</v>
      </c>
      <c r="Q9">
        <v>319.33999999999997</v>
      </c>
      <c r="R9" s="11">
        <v>2.8399311531841647E-2</v>
      </c>
      <c r="S9" s="11">
        <v>0.33171028606208153</v>
      </c>
      <c r="T9" s="34">
        <v>1.6076696165191739</v>
      </c>
      <c r="U9" s="34">
        <v>0.45801526717557239</v>
      </c>
      <c r="V9">
        <f t="shared" si="1"/>
        <v>9.6294871794871746</v>
      </c>
      <c r="W9">
        <f t="shared" si="2"/>
        <v>4.3575530716208197</v>
      </c>
      <c r="X9">
        <f t="shared" si="3"/>
        <v>1.2414402896108614</v>
      </c>
    </row>
    <row r="10" spans="1:24" x14ac:dyDescent="0.2">
      <c r="A10" s="22">
        <v>9</v>
      </c>
      <c r="B10" s="22">
        <v>1</v>
      </c>
      <c r="C10" s="22" t="s">
        <v>74</v>
      </c>
      <c r="D10" s="22" t="s">
        <v>78</v>
      </c>
      <c r="E10" s="22" t="s">
        <v>80</v>
      </c>
      <c r="F10">
        <v>33.200000000000003</v>
      </c>
      <c r="G10">
        <v>21.579000000000001</v>
      </c>
      <c r="H10">
        <v>2.2320000000000002</v>
      </c>
      <c r="I10">
        <v>5.298</v>
      </c>
      <c r="J10">
        <v>0.20699999999999999</v>
      </c>
      <c r="K10">
        <v>10.11</v>
      </c>
      <c r="L10">
        <v>134</v>
      </c>
      <c r="M10">
        <v>31.16</v>
      </c>
      <c r="N10">
        <v>44.33</v>
      </c>
      <c r="O10">
        <v>42.71</v>
      </c>
      <c r="P10">
        <f t="shared" si="0"/>
        <v>0.14025974025974003</v>
      </c>
      <c r="Q10">
        <v>308.79000000000002</v>
      </c>
      <c r="R10" s="11">
        <v>4.561101549053357E-2</v>
      </c>
      <c r="S10" s="11">
        <v>0.49300060864272666</v>
      </c>
      <c r="T10" s="34">
        <v>1.0029498525073746</v>
      </c>
      <c r="U10" s="34">
        <v>0.18790369935408102</v>
      </c>
      <c r="V10">
        <f t="shared" si="1"/>
        <v>8.8664009111617315</v>
      </c>
      <c r="W10">
        <f t="shared" si="2"/>
        <v>2.9686243718438248</v>
      </c>
      <c r="X10">
        <f t="shared" si="3"/>
        <v>0.5561748676343099</v>
      </c>
    </row>
    <row r="11" spans="1:24" x14ac:dyDescent="0.2">
      <c r="A11" s="22">
        <v>10</v>
      </c>
      <c r="B11" s="22">
        <v>1</v>
      </c>
      <c r="C11" s="22" t="s">
        <v>77</v>
      </c>
      <c r="D11" s="22" t="s">
        <v>78</v>
      </c>
      <c r="E11" s="22" t="s">
        <v>80</v>
      </c>
      <c r="F11">
        <v>35.9</v>
      </c>
      <c r="G11">
        <v>24.021000000000001</v>
      </c>
      <c r="H11">
        <v>2.1059999999999999</v>
      </c>
      <c r="I11">
        <v>5.3369999999999997</v>
      </c>
      <c r="J11">
        <v>0.214</v>
      </c>
      <c r="K11">
        <v>10.24</v>
      </c>
      <c r="L11">
        <v>46</v>
      </c>
      <c r="M11">
        <v>31.6</v>
      </c>
      <c r="N11">
        <v>44.01</v>
      </c>
      <c r="O11">
        <v>42.44</v>
      </c>
      <c r="P11">
        <f t="shared" si="0"/>
        <v>0.14483394833948346</v>
      </c>
      <c r="Q11">
        <v>363.16</v>
      </c>
      <c r="R11" s="11">
        <v>2.4096385542168686E-2</v>
      </c>
      <c r="S11" s="11">
        <v>0.29214850882531962</v>
      </c>
      <c r="T11" s="34">
        <v>4.0412979351032448</v>
      </c>
      <c r="U11" s="34">
        <v>0.49324721080446265</v>
      </c>
      <c r="V11">
        <f t="shared" si="1"/>
        <v>8.9445286059629332</v>
      </c>
      <c r="W11">
        <f t="shared" si="2"/>
        <v>11.880764088164941</v>
      </c>
      <c r="X11">
        <f t="shared" si="3"/>
        <v>1.4500672414699041</v>
      </c>
    </row>
    <row r="12" spans="1:24" x14ac:dyDescent="0.2">
      <c r="A12" s="22">
        <v>11</v>
      </c>
      <c r="B12" s="22">
        <v>1</v>
      </c>
      <c r="C12" s="22" t="s">
        <v>74</v>
      </c>
      <c r="D12" s="22" t="s">
        <v>79</v>
      </c>
      <c r="E12" s="22" t="s">
        <v>80</v>
      </c>
      <c r="F12">
        <v>38</v>
      </c>
      <c r="G12">
        <v>25.175999999999998</v>
      </c>
      <c r="H12">
        <v>2.1669999999999998</v>
      </c>
      <c r="I12">
        <v>5.3070000000000004</v>
      </c>
      <c r="J12">
        <v>0.20699999999999999</v>
      </c>
      <c r="K12">
        <v>10.7</v>
      </c>
      <c r="L12" t="s">
        <v>87</v>
      </c>
      <c r="M12">
        <v>31.55</v>
      </c>
      <c r="N12">
        <v>39.130000000000003</v>
      </c>
      <c r="O12">
        <v>37.619999999999997</v>
      </c>
      <c r="P12">
        <f t="shared" si="0"/>
        <v>0.24876441515650838</v>
      </c>
      <c r="Q12">
        <v>491.66999999999996</v>
      </c>
      <c r="R12" s="11">
        <v>1.5490533562822725E-2</v>
      </c>
      <c r="S12" s="11">
        <v>-1.2172854534388326E-2</v>
      </c>
      <c r="T12" s="34">
        <v>1.4306784660766962</v>
      </c>
      <c r="U12" s="34">
        <v>0.41691133294186733</v>
      </c>
      <c r="V12">
        <f t="shared" si="1"/>
        <v>8.5684696569920789</v>
      </c>
      <c r="W12">
        <f t="shared" si="2"/>
        <v>4.5301550647113178</v>
      </c>
      <c r="X12">
        <f t="shared" si="3"/>
        <v>1.3201240049704488</v>
      </c>
    </row>
    <row r="13" spans="1:24" x14ac:dyDescent="0.2">
      <c r="A13" s="22">
        <v>12</v>
      </c>
      <c r="B13" s="22">
        <v>1</v>
      </c>
      <c r="C13" s="22" t="s">
        <v>77</v>
      </c>
      <c r="D13" s="22" t="s">
        <v>79</v>
      </c>
      <c r="E13" s="22" t="s">
        <v>80</v>
      </c>
      <c r="F13">
        <v>48.6</v>
      </c>
      <c r="G13">
        <v>31.044</v>
      </c>
      <c r="H13">
        <v>2.605</v>
      </c>
      <c r="I13">
        <v>6.5119999999999996</v>
      </c>
      <c r="J13">
        <v>0.28000000000000003</v>
      </c>
      <c r="K13">
        <v>10.06</v>
      </c>
      <c r="L13">
        <v>119</v>
      </c>
      <c r="M13">
        <v>31.3</v>
      </c>
      <c r="N13">
        <v>37.94</v>
      </c>
      <c r="O13">
        <v>36.93</v>
      </c>
      <c r="P13">
        <f t="shared" si="0"/>
        <v>0.17939609236234427</v>
      </c>
      <c r="Q13">
        <v>363.04</v>
      </c>
      <c r="R13" s="11">
        <v>2.2662076878944358E-2</v>
      </c>
      <c r="S13" s="11">
        <v>-5.477784540474738E-2</v>
      </c>
      <c r="T13" s="34">
        <v>6.0176991150442491</v>
      </c>
      <c r="U13" s="34">
        <v>0.37580739870816204</v>
      </c>
      <c r="V13">
        <f t="shared" si="1"/>
        <v>8.5297891566265083</v>
      </c>
      <c r="W13">
        <f t="shared" si="2"/>
        <v>18.716854940087075</v>
      </c>
      <c r="X13">
        <f t="shared" si="3"/>
        <v>1.1688740883450457</v>
      </c>
    </row>
    <row r="14" spans="1:24" x14ac:dyDescent="0.2">
      <c r="A14" s="22">
        <v>13</v>
      </c>
      <c r="B14" s="22">
        <v>2</v>
      </c>
      <c r="C14" s="22" t="s">
        <v>74</v>
      </c>
      <c r="D14" s="22" t="s">
        <v>75</v>
      </c>
      <c r="E14" s="22" t="s">
        <v>76</v>
      </c>
      <c r="F14">
        <v>30.6</v>
      </c>
      <c r="G14">
        <v>18.899999999999999</v>
      </c>
      <c r="H14">
        <v>1.889</v>
      </c>
      <c r="I14">
        <v>5.1859999999999999</v>
      </c>
      <c r="J14">
        <v>0.27</v>
      </c>
      <c r="K14">
        <v>10.69</v>
      </c>
      <c r="L14" t="s">
        <v>88</v>
      </c>
      <c r="M14">
        <v>31.54</v>
      </c>
      <c r="N14">
        <v>42.34</v>
      </c>
      <c r="O14">
        <v>41.11</v>
      </c>
      <c r="P14">
        <f t="shared" si="0"/>
        <v>0.1285266457680255</v>
      </c>
      <c r="Q14">
        <v>354.32</v>
      </c>
      <c r="R14" s="11">
        <v>1.1187607573149743E-2</v>
      </c>
      <c r="S14" s="11">
        <v>0.3986609860012173</v>
      </c>
      <c r="T14" s="34">
        <v>36.288450192874976</v>
      </c>
      <c r="U14" s="34">
        <v>0.5490311215502055</v>
      </c>
      <c r="V14">
        <f t="shared" si="1"/>
        <v>9.4725277777777741</v>
      </c>
      <c r="W14">
        <f t="shared" si="2"/>
        <v>100.43691158669665</v>
      </c>
      <c r="X14">
        <f t="shared" si="3"/>
        <v>1.5195741322761118</v>
      </c>
    </row>
    <row r="15" spans="1:24" x14ac:dyDescent="0.2">
      <c r="A15" s="22">
        <v>14</v>
      </c>
      <c r="B15" s="22">
        <v>2</v>
      </c>
      <c r="C15" s="22" t="s">
        <v>77</v>
      </c>
      <c r="D15" s="22" t="s">
        <v>75</v>
      </c>
      <c r="E15" s="22" t="s">
        <v>76</v>
      </c>
      <c r="F15">
        <v>28.4</v>
      </c>
      <c r="G15">
        <v>24.501999999999999</v>
      </c>
      <c r="H15">
        <v>2.5619999999999998</v>
      </c>
      <c r="I15">
        <v>4.53</v>
      </c>
      <c r="J15">
        <v>0.254</v>
      </c>
      <c r="K15">
        <v>10.61</v>
      </c>
      <c r="L15">
        <v>117</v>
      </c>
      <c r="M15">
        <v>31.28</v>
      </c>
      <c r="N15">
        <v>40.729999999999997</v>
      </c>
      <c r="O15">
        <v>39.700000000000003</v>
      </c>
      <c r="P15">
        <f t="shared" si="0"/>
        <v>0.122327790973871</v>
      </c>
      <c r="Q15">
        <v>354.45</v>
      </c>
      <c r="R15" s="11">
        <v>4.7045324153757902E-2</v>
      </c>
      <c r="S15" s="11">
        <v>1.0864272671941571</v>
      </c>
      <c r="T15" s="34">
        <v>10.265486725663717</v>
      </c>
      <c r="U15" s="34">
        <v>0.57839107457428063</v>
      </c>
      <c r="V15">
        <f t="shared" si="1"/>
        <v>9.4535661375661437</v>
      </c>
      <c r="W15">
        <f t="shared" si="2"/>
        <v>28.402882118582635</v>
      </c>
      <c r="X15">
        <f t="shared" si="3"/>
        <v>1.6003112125705345</v>
      </c>
    </row>
    <row r="16" spans="1:24" x14ac:dyDescent="0.2">
      <c r="A16" s="22">
        <v>15</v>
      </c>
      <c r="B16" s="22">
        <v>2</v>
      </c>
      <c r="C16" s="22" t="s">
        <v>74</v>
      </c>
      <c r="D16" s="22" t="s">
        <v>78</v>
      </c>
      <c r="E16" s="22" t="s">
        <v>76</v>
      </c>
      <c r="F16">
        <v>32.700000000000003</v>
      </c>
      <c r="G16">
        <v>18.913</v>
      </c>
      <c r="H16">
        <v>1.5620000000000001</v>
      </c>
      <c r="I16">
        <v>3.895</v>
      </c>
      <c r="J16">
        <v>0.191</v>
      </c>
      <c r="K16">
        <v>10.7</v>
      </c>
      <c r="L16">
        <v>48</v>
      </c>
      <c r="M16">
        <v>31.37</v>
      </c>
      <c r="N16">
        <v>46.36</v>
      </c>
      <c r="O16">
        <v>43.07</v>
      </c>
      <c r="P16">
        <f t="shared" si="0"/>
        <v>0.28119658119658114</v>
      </c>
      <c r="Q16">
        <v>532.92999999999995</v>
      </c>
      <c r="R16" s="11">
        <v>9.7532989099254168E-3</v>
      </c>
      <c r="S16" s="11">
        <v>6.6950699939135702E-2</v>
      </c>
      <c r="T16" s="34">
        <v>7.4483775811209441</v>
      </c>
      <c r="U16" s="34">
        <v>0.32883147386964179</v>
      </c>
      <c r="V16">
        <f t="shared" si="1"/>
        <v>8.3515677118078724</v>
      </c>
      <c r="W16">
        <f t="shared" si="2"/>
        <v>24.390803854247736</v>
      </c>
      <c r="X16">
        <f t="shared" si="3"/>
        <v>1.0768068472504295</v>
      </c>
    </row>
    <row r="17" spans="1:24" x14ac:dyDescent="0.2">
      <c r="A17" s="22">
        <v>16</v>
      </c>
      <c r="B17" s="22">
        <v>2</v>
      </c>
      <c r="C17" s="22" t="s">
        <v>77</v>
      </c>
      <c r="D17" s="22" t="s">
        <v>78</v>
      </c>
      <c r="E17" s="22" t="s">
        <v>76</v>
      </c>
      <c r="F17">
        <v>35.700000000000003</v>
      </c>
      <c r="G17">
        <v>21.75</v>
      </c>
      <c r="H17">
        <v>2.11</v>
      </c>
      <c r="I17">
        <v>5.5229999999999997</v>
      </c>
      <c r="J17">
        <v>0.182</v>
      </c>
      <c r="K17">
        <v>10.4</v>
      </c>
      <c r="L17">
        <v>127</v>
      </c>
      <c r="M17">
        <v>30.96</v>
      </c>
      <c r="N17">
        <v>43.59</v>
      </c>
      <c r="O17">
        <v>41.98</v>
      </c>
      <c r="P17">
        <f t="shared" si="0"/>
        <v>0.14609800362976472</v>
      </c>
      <c r="Q17">
        <v>322.61</v>
      </c>
      <c r="R17" s="11">
        <v>1.6924842226047052E-2</v>
      </c>
      <c r="S17" s="11">
        <v>0.44735240413877059</v>
      </c>
      <c r="T17" s="34">
        <v>4.4100294985250743</v>
      </c>
      <c r="U17" s="34">
        <v>0.68115091015854368</v>
      </c>
      <c r="V17">
        <f t="shared" si="1"/>
        <v>9.074267616785427</v>
      </c>
      <c r="W17">
        <f t="shared" si="2"/>
        <v>12.794118631182789</v>
      </c>
      <c r="X17">
        <f t="shared" si="3"/>
        <v>1.9761150244507799</v>
      </c>
    </row>
    <row r="18" spans="1:24" x14ac:dyDescent="0.2">
      <c r="A18" s="22">
        <v>17</v>
      </c>
      <c r="B18" s="22">
        <v>2</v>
      </c>
      <c r="C18" s="22" t="s">
        <v>74</v>
      </c>
      <c r="D18" s="22" t="s">
        <v>79</v>
      </c>
      <c r="E18" s="22" t="s">
        <v>76</v>
      </c>
      <c r="F18">
        <v>36.4</v>
      </c>
      <c r="G18">
        <v>24.56</v>
      </c>
      <c r="H18">
        <v>2.758</v>
      </c>
      <c r="I18">
        <v>5.1180000000000003</v>
      </c>
      <c r="J18">
        <v>0.23899999999999999</v>
      </c>
      <c r="K18">
        <v>9.7100000000000009</v>
      </c>
      <c r="L18">
        <v>40</v>
      </c>
      <c r="M18">
        <v>30.87</v>
      </c>
      <c r="N18">
        <v>42.03</v>
      </c>
      <c r="O18">
        <v>39.47</v>
      </c>
      <c r="P18">
        <f t="shared" si="0"/>
        <v>0.29767441860465149</v>
      </c>
      <c r="Q18">
        <v>383.39</v>
      </c>
      <c r="R18" s="11">
        <v>3.2702237521514632E-2</v>
      </c>
      <c r="S18" s="11">
        <v>1.171637248934875</v>
      </c>
      <c r="T18" s="34">
        <v>0.78171091445427743</v>
      </c>
      <c r="U18" s="34">
        <v>0.182031708749266</v>
      </c>
      <c r="V18">
        <f t="shared" si="1"/>
        <v>7.4826164874551955</v>
      </c>
      <c r="W18">
        <f t="shared" si="2"/>
        <v>2.8444519239321981</v>
      </c>
      <c r="X18">
        <f t="shared" si="3"/>
        <v>0.66236819084198717</v>
      </c>
    </row>
    <row r="19" spans="1:24" x14ac:dyDescent="0.2">
      <c r="A19" s="22">
        <v>18</v>
      </c>
      <c r="B19" s="22">
        <v>2</v>
      </c>
      <c r="C19" s="22" t="s">
        <v>77</v>
      </c>
      <c r="D19" s="22" t="s">
        <v>79</v>
      </c>
      <c r="E19" s="22" t="s">
        <v>76</v>
      </c>
      <c r="F19">
        <v>43.2</v>
      </c>
      <c r="G19">
        <v>26.945</v>
      </c>
      <c r="H19">
        <v>2.496</v>
      </c>
      <c r="I19">
        <v>6.6639999999999997</v>
      </c>
      <c r="J19">
        <v>0.23499999999999999</v>
      </c>
      <c r="K19">
        <v>10.36</v>
      </c>
      <c r="L19" t="s">
        <v>89</v>
      </c>
      <c r="M19">
        <v>31.54</v>
      </c>
      <c r="N19">
        <v>45.82</v>
      </c>
      <c r="O19">
        <v>42.69</v>
      </c>
      <c r="P19">
        <f t="shared" si="0"/>
        <v>0.28071748878923791</v>
      </c>
      <c r="Q19">
        <v>491.71999999999997</v>
      </c>
      <c r="R19" s="11">
        <v>1.1187607573149743E-2</v>
      </c>
      <c r="S19" s="11">
        <v>8.8253195374315266E-2</v>
      </c>
      <c r="T19" s="34">
        <v>0.78171091445427743</v>
      </c>
      <c r="U19" s="34">
        <v>0.70170287727539626</v>
      </c>
      <c r="V19">
        <f t="shared" si="1"/>
        <v>8.0892156862745086</v>
      </c>
      <c r="W19">
        <f t="shared" si="2"/>
        <v>2.635344459900991</v>
      </c>
      <c r="X19">
        <f t="shared" si="3"/>
        <v>2.365617206989199</v>
      </c>
    </row>
    <row r="20" spans="1:24" x14ac:dyDescent="0.2">
      <c r="A20" s="22">
        <v>19</v>
      </c>
      <c r="B20" s="22">
        <v>2</v>
      </c>
      <c r="C20" s="22" t="s">
        <v>74</v>
      </c>
      <c r="D20" s="22" t="s">
        <v>75</v>
      </c>
      <c r="E20" s="22" t="s">
        <v>80</v>
      </c>
      <c r="F20">
        <v>29</v>
      </c>
      <c r="G20">
        <v>24.78</v>
      </c>
      <c r="H20">
        <v>2.383</v>
      </c>
      <c r="I20">
        <v>4.2380000000000004</v>
      </c>
      <c r="J20">
        <v>0.223</v>
      </c>
      <c r="K20">
        <v>10.32</v>
      </c>
      <c r="L20">
        <v>53</v>
      </c>
      <c r="M20">
        <v>31.26</v>
      </c>
      <c r="N20">
        <v>44.84</v>
      </c>
      <c r="O20">
        <v>43.37</v>
      </c>
      <c r="P20">
        <f t="shared" si="0"/>
        <v>0.12138728323699476</v>
      </c>
      <c r="Q20">
        <v>310.70999999999998</v>
      </c>
      <c r="R20" s="11">
        <v>4.7045324153757902E-2</v>
      </c>
      <c r="S20" s="11">
        <v>0.94948265368228846</v>
      </c>
      <c r="T20" s="34">
        <v>8.4365781710914458</v>
      </c>
      <c r="U20" s="34">
        <v>0.41984732824427484</v>
      </c>
      <c r="V20">
        <f t="shared" si="1"/>
        <v>9.2028865979381411</v>
      </c>
      <c r="W20">
        <f t="shared" si="2"/>
        <v>23.942386606080831</v>
      </c>
      <c r="X20">
        <f t="shared" si="3"/>
        <v>1.1914957515357314</v>
      </c>
    </row>
    <row r="21" spans="1:24" x14ac:dyDescent="0.2">
      <c r="A21" s="22">
        <v>20</v>
      </c>
      <c r="B21" s="22">
        <v>2</v>
      </c>
      <c r="C21" s="22" t="s">
        <v>77</v>
      </c>
      <c r="D21" s="22" t="s">
        <v>75</v>
      </c>
      <c r="E21" s="22" t="s">
        <v>80</v>
      </c>
      <c r="F21">
        <v>32.9</v>
      </c>
      <c r="G21">
        <v>22.89</v>
      </c>
      <c r="H21">
        <v>1.964</v>
      </c>
      <c r="I21">
        <v>5.2629999999999999</v>
      </c>
      <c r="J21">
        <v>0.32200000000000001</v>
      </c>
      <c r="K21">
        <v>10.62</v>
      </c>
      <c r="L21">
        <v>144</v>
      </c>
      <c r="M21">
        <v>31.13</v>
      </c>
      <c r="N21">
        <v>39.869999999999997</v>
      </c>
      <c r="O21">
        <v>39</v>
      </c>
      <c r="P21">
        <f t="shared" si="0"/>
        <v>0.11054637865311275</v>
      </c>
      <c r="Q21">
        <v>303.11</v>
      </c>
      <c r="R21" s="11">
        <v>1.9793459552495705E-2</v>
      </c>
      <c r="S21" s="11">
        <v>0.14607425441265973</v>
      </c>
      <c r="T21" s="34">
        <v>32.480757885182662</v>
      </c>
      <c r="U21" s="34">
        <v>0.38167938931297712</v>
      </c>
      <c r="V21">
        <f t="shared" si="1"/>
        <v>9.562860411899317</v>
      </c>
      <c r="W21">
        <f t="shared" si="2"/>
        <v>88.504443826071551</v>
      </c>
      <c r="X21">
        <f t="shared" si="3"/>
        <v>1.0400102790221486</v>
      </c>
    </row>
    <row r="22" spans="1:24" x14ac:dyDescent="0.2">
      <c r="A22" s="22">
        <v>21</v>
      </c>
      <c r="B22" s="22">
        <v>2</v>
      </c>
      <c r="C22" s="22" t="s">
        <v>74</v>
      </c>
      <c r="D22" s="22" t="s">
        <v>78</v>
      </c>
      <c r="E22" s="22" t="s">
        <v>80</v>
      </c>
      <c r="F22">
        <v>37.200000000000003</v>
      </c>
      <c r="G22">
        <v>21.065999999999999</v>
      </c>
      <c r="H22">
        <v>1.8069999999999999</v>
      </c>
      <c r="I22">
        <v>4.6849999999999996</v>
      </c>
      <c r="J22">
        <v>0.218</v>
      </c>
      <c r="K22">
        <v>10.37</v>
      </c>
      <c r="L22">
        <v>47</v>
      </c>
      <c r="M22">
        <v>31.27</v>
      </c>
      <c r="N22">
        <v>41.19</v>
      </c>
      <c r="O22">
        <v>39.46</v>
      </c>
      <c r="P22">
        <f t="shared" si="0"/>
        <v>0.21123321123321082</v>
      </c>
      <c r="Q22">
        <v>389.98</v>
      </c>
      <c r="R22" s="11">
        <v>2.2662076878944358E-2</v>
      </c>
      <c r="S22" s="11">
        <v>1.6402921485088251</v>
      </c>
      <c r="T22" s="34">
        <v>2.7138643067846608</v>
      </c>
      <c r="U22" s="34">
        <v>0.53728714034057545</v>
      </c>
      <c r="V22">
        <f t="shared" si="1"/>
        <v>8.5615221774193557</v>
      </c>
      <c r="W22">
        <f t="shared" si="2"/>
        <v>8.4978546541427882</v>
      </c>
      <c r="X22">
        <f t="shared" si="3"/>
        <v>1.682393631376395</v>
      </c>
    </row>
    <row r="23" spans="1:24" x14ac:dyDescent="0.2">
      <c r="A23" s="22">
        <v>22</v>
      </c>
      <c r="B23" s="22">
        <v>2</v>
      </c>
      <c r="C23" s="22" t="s">
        <v>77</v>
      </c>
      <c r="D23" s="22" t="s">
        <v>78</v>
      </c>
      <c r="E23" s="22" t="s">
        <v>80</v>
      </c>
      <c r="F23">
        <v>41.8</v>
      </c>
      <c r="G23">
        <v>26.513999999999999</v>
      </c>
      <c r="H23">
        <v>2.444</v>
      </c>
      <c r="I23">
        <v>6.2069999999999999</v>
      </c>
      <c r="J23">
        <v>0.20399999999999999</v>
      </c>
      <c r="K23">
        <v>9.9499999999999993</v>
      </c>
      <c r="L23">
        <v>66</v>
      </c>
      <c r="M23">
        <v>31.25</v>
      </c>
      <c r="N23">
        <v>41.22</v>
      </c>
      <c r="O23">
        <v>39.97</v>
      </c>
      <c r="P23">
        <f t="shared" si="0"/>
        <v>0.14334862385321104</v>
      </c>
      <c r="Q23">
        <v>288.72000000000003</v>
      </c>
      <c r="R23" s="11">
        <v>4.7045324153757902E-2</v>
      </c>
      <c r="S23" s="11">
        <v>0.29519172245891673</v>
      </c>
      <c r="T23" s="34">
        <v>0.81120943952802349</v>
      </c>
      <c r="U23" s="34">
        <v>0.43159130945390489</v>
      </c>
      <c r="V23">
        <f t="shared" si="1"/>
        <v>8.7025075225677018</v>
      </c>
      <c r="W23">
        <f t="shared" si="2"/>
        <v>2.4466756973686055</v>
      </c>
      <c r="X23">
        <f t="shared" si="3"/>
        <v>1.301715582415734</v>
      </c>
    </row>
    <row r="24" spans="1:24" x14ac:dyDescent="0.2">
      <c r="A24" s="22">
        <v>23</v>
      </c>
      <c r="B24" s="22">
        <v>2</v>
      </c>
      <c r="C24" s="22" t="s">
        <v>74</v>
      </c>
      <c r="D24" s="22" t="s">
        <v>79</v>
      </c>
      <c r="E24" s="22" t="s">
        <v>80</v>
      </c>
      <c r="F24">
        <v>36.6</v>
      </c>
      <c r="G24">
        <v>26.599</v>
      </c>
      <c r="H24">
        <v>2.2040000000000002</v>
      </c>
      <c r="I24">
        <v>5.109</v>
      </c>
      <c r="J24">
        <v>0.35</v>
      </c>
      <c r="K24">
        <v>10.6</v>
      </c>
      <c r="L24">
        <v>62</v>
      </c>
      <c r="M24">
        <v>31.44</v>
      </c>
      <c r="N24">
        <v>40.85</v>
      </c>
      <c r="O24">
        <v>38.68</v>
      </c>
      <c r="P24">
        <f t="shared" si="0"/>
        <v>0.29972375690607767</v>
      </c>
      <c r="Q24">
        <v>457.21999999999997</v>
      </c>
      <c r="R24" s="11">
        <v>2.2662076878944358E-2</v>
      </c>
      <c r="S24" s="11">
        <v>-4.2604990870359134E-2</v>
      </c>
      <c r="T24" s="34">
        <v>4.778761061946903</v>
      </c>
      <c r="U24" s="34">
        <v>0.64885496183206093</v>
      </c>
      <c r="V24">
        <f t="shared" si="1"/>
        <v>8.155579171094578</v>
      </c>
      <c r="W24">
        <f t="shared" si="2"/>
        <v>16.081056522593457</v>
      </c>
      <c r="X24">
        <f t="shared" si="3"/>
        <v>2.1834683050538604</v>
      </c>
    </row>
    <row r="25" spans="1:24" x14ac:dyDescent="0.2">
      <c r="A25" s="22">
        <v>24</v>
      </c>
      <c r="B25" s="22">
        <v>2</v>
      </c>
      <c r="C25" s="22" t="s">
        <v>77</v>
      </c>
      <c r="D25" s="22" t="s">
        <v>79</v>
      </c>
      <c r="E25" s="22" t="s">
        <v>80</v>
      </c>
      <c r="F25">
        <v>47.3</v>
      </c>
      <c r="G25">
        <v>31.094999999999999</v>
      </c>
      <c r="H25">
        <v>2.5950000000000002</v>
      </c>
      <c r="I25">
        <v>6.23</v>
      </c>
      <c r="J25">
        <v>0.26300000000000001</v>
      </c>
      <c r="K25">
        <v>10.34</v>
      </c>
      <c r="L25">
        <v>70</v>
      </c>
      <c r="M25">
        <v>31.37</v>
      </c>
      <c r="N25">
        <v>42.4</v>
      </c>
      <c r="O25">
        <v>40.4</v>
      </c>
      <c r="P25">
        <f t="shared" si="0"/>
        <v>0.22148394241417504</v>
      </c>
      <c r="Q25">
        <v>389.75</v>
      </c>
      <c r="R25" s="11">
        <v>2.2662076878944358E-2</v>
      </c>
      <c r="S25" s="11">
        <v>-6.9993913572732783E-2</v>
      </c>
      <c r="T25" s="34">
        <v>3.6725663716814165</v>
      </c>
      <c r="U25" s="34">
        <v>0.71051086318261891</v>
      </c>
      <c r="V25">
        <f t="shared" si="1"/>
        <v>8.4651133272892114</v>
      </c>
      <c r="W25">
        <f t="shared" si="2"/>
        <v>11.659596418959392</v>
      </c>
      <c r="X25">
        <f t="shared" si="3"/>
        <v>2.2557168686928346</v>
      </c>
    </row>
    <row r="26" spans="1:24" x14ac:dyDescent="0.2">
      <c r="A26" s="22">
        <v>25</v>
      </c>
      <c r="B26" s="22">
        <v>3</v>
      </c>
      <c r="C26" s="22" t="s">
        <v>74</v>
      </c>
      <c r="D26" s="22" t="s">
        <v>75</v>
      </c>
      <c r="E26" s="22" t="s">
        <v>76</v>
      </c>
      <c r="F26">
        <v>30.1</v>
      </c>
      <c r="G26">
        <v>18.768999999999998</v>
      </c>
      <c r="H26">
        <v>1.984</v>
      </c>
      <c r="I26">
        <v>4.6849999999999996</v>
      </c>
      <c r="J26">
        <v>0.20300000000000001</v>
      </c>
      <c r="K26">
        <v>10.56</v>
      </c>
      <c r="L26">
        <v>123</v>
      </c>
      <c r="M26">
        <v>31.17</v>
      </c>
      <c r="N26">
        <v>42.88</v>
      </c>
      <c r="O26">
        <v>41.63</v>
      </c>
      <c r="P26">
        <f t="shared" si="0"/>
        <v>0.11950286806883365</v>
      </c>
      <c r="Q26">
        <v>320.60000000000002</v>
      </c>
      <c r="R26" s="11">
        <v>4.274239816408492E-2</v>
      </c>
      <c r="S26" s="11">
        <v>0.90992087644552644</v>
      </c>
      <c r="T26" s="34">
        <v>36.788450192874969</v>
      </c>
      <c r="U26" s="34">
        <v>0.74280681150910155</v>
      </c>
      <c r="V26">
        <f t="shared" si="1"/>
        <v>9.4327583262169092</v>
      </c>
      <c r="W26">
        <f t="shared" si="2"/>
        <v>101.89816125382133</v>
      </c>
      <c r="X26">
        <f t="shared" si="3"/>
        <v>2.0574568339454196</v>
      </c>
    </row>
    <row r="27" spans="1:24" x14ac:dyDescent="0.2">
      <c r="A27" s="22">
        <v>26</v>
      </c>
      <c r="B27" s="22">
        <v>3</v>
      </c>
      <c r="C27" s="22" t="s">
        <v>77</v>
      </c>
      <c r="D27" s="22" t="s">
        <v>75</v>
      </c>
      <c r="E27" s="22" t="s">
        <v>76</v>
      </c>
      <c r="F27">
        <v>30.2</v>
      </c>
      <c r="G27">
        <v>23.446999999999999</v>
      </c>
      <c r="H27">
        <v>2.4950000000000001</v>
      </c>
      <c r="I27">
        <v>5.141</v>
      </c>
      <c r="J27">
        <v>0.17199999999999999</v>
      </c>
      <c r="K27">
        <v>10.55</v>
      </c>
      <c r="L27">
        <v>114</v>
      </c>
      <c r="M27">
        <v>31.63</v>
      </c>
      <c r="N27">
        <v>43.92</v>
      </c>
      <c r="O27">
        <v>42.68</v>
      </c>
      <c r="P27">
        <f t="shared" si="0"/>
        <v>0.11221719457013592</v>
      </c>
      <c r="Q27">
        <v>330.27</v>
      </c>
      <c r="R27" s="11">
        <v>1.4056224899598397E-2</v>
      </c>
      <c r="S27" s="11">
        <v>0.77906269020085206</v>
      </c>
      <c r="T27" s="34">
        <v>1.4749262536873156</v>
      </c>
      <c r="U27" s="34">
        <v>0.28185554903112148</v>
      </c>
      <c r="V27">
        <f t="shared" si="1"/>
        <v>9.4855573637103312</v>
      </c>
      <c r="W27">
        <f t="shared" si="2"/>
        <v>4.052806731111624</v>
      </c>
      <c r="X27">
        <f t="shared" si="3"/>
        <v>0.7744835129612252</v>
      </c>
    </row>
    <row r="28" spans="1:24" x14ac:dyDescent="0.2">
      <c r="A28" s="22">
        <v>27</v>
      </c>
      <c r="B28" s="22">
        <v>3</v>
      </c>
      <c r="C28" s="22" t="s">
        <v>74</v>
      </c>
      <c r="D28" s="22" t="s">
        <v>78</v>
      </c>
      <c r="E28" s="22" t="s">
        <v>76</v>
      </c>
      <c r="F28">
        <v>34</v>
      </c>
      <c r="G28">
        <v>24.687000000000001</v>
      </c>
      <c r="H28">
        <v>2.04</v>
      </c>
      <c r="I28">
        <v>4.7149999999999999</v>
      </c>
      <c r="J28">
        <v>0.27</v>
      </c>
      <c r="K28">
        <v>10.65</v>
      </c>
      <c r="L28">
        <v>67</v>
      </c>
      <c r="M28">
        <v>31.05</v>
      </c>
      <c r="N28">
        <v>41.03</v>
      </c>
      <c r="O28">
        <v>39</v>
      </c>
      <c r="P28">
        <f t="shared" si="0"/>
        <v>0.2553459119496857</v>
      </c>
      <c r="Q28">
        <v>477.6</v>
      </c>
      <c r="R28" s="11">
        <v>8.3189902467010884E-3</v>
      </c>
      <c r="S28" s="11">
        <v>2.4345709068776651E-2</v>
      </c>
      <c r="T28" s="34">
        <v>4.3067846607669624</v>
      </c>
      <c r="U28" s="34">
        <v>0.261303581914269</v>
      </c>
      <c r="V28">
        <f t="shared" si="1"/>
        <v>8.4837174348697388</v>
      </c>
      <c r="W28">
        <f t="shared" si="2"/>
        <v>13.791045015322391</v>
      </c>
      <c r="X28">
        <f t="shared" si="3"/>
        <v>0.83673778577146662</v>
      </c>
    </row>
    <row r="29" spans="1:24" x14ac:dyDescent="0.2">
      <c r="A29" s="22">
        <v>28</v>
      </c>
      <c r="B29" s="22">
        <v>3</v>
      </c>
      <c r="C29" s="22" t="s">
        <v>77</v>
      </c>
      <c r="D29" s="22" t="s">
        <v>78</v>
      </c>
      <c r="E29" s="22" t="s">
        <v>76</v>
      </c>
      <c r="F29">
        <v>37.9</v>
      </c>
      <c r="G29">
        <v>29.393000000000001</v>
      </c>
      <c r="H29">
        <v>2.4849999999999999</v>
      </c>
      <c r="I29">
        <v>5.1639999999999997</v>
      </c>
      <c r="J29">
        <v>0.23699999999999999</v>
      </c>
      <c r="K29">
        <v>10.82</v>
      </c>
      <c r="L29">
        <v>37</v>
      </c>
      <c r="M29">
        <v>30.89</v>
      </c>
      <c r="N29">
        <v>42.67</v>
      </c>
      <c r="O29">
        <v>40.380000000000003</v>
      </c>
      <c r="P29">
        <f t="shared" si="0"/>
        <v>0.2413066385669124</v>
      </c>
      <c r="Q29">
        <v>337.88</v>
      </c>
      <c r="R29" s="11">
        <v>3.2702237521514632E-2</v>
      </c>
      <c r="S29" s="11">
        <v>0.83079732197200251</v>
      </c>
      <c r="T29" s="34">
        <v>3.1268436578171088</v>
      </c>
      <c r="U29" s="34">
        <v>0.85437463300058714</v>
      </c>
      <c r="V29">
        <f t="shared" si="1"/>
        <v>8.7166213921901541</v>
      </c>
      <c r="W29">
        <f t="shared" si="2"/>
        <v>9.7225775552415232</v>
      </c>
      <c r="X29">
        <f t="shared" si="3"/>
        <v>2.656584255439959</v>
      </c>
    </row>
    <row r="30" spans="1:24" x14ac:dyDescent="0.2">
      <c r="A30" s="22">
        <v>29</v>
      </c>
      <c r="B30" s="22">
        <v>3</v>
      </c>
      <c r="C30" s="22" t="s">
        <v>74</v>
      </c>
      <c r="D30" s="22" t="s">
        <v>79</v>
      </c>
      <c r="E30" s="22" t="s">
        <v>76</v>
      </c>
      <c r="F30">
        <v>39.700000000000003</v>
      </c>
      <c r="G30">
        <v>25.065000000000001</v>
      </c>
      <c r="H30">
        <v>2.2490000000000001</v>
      </c>
      <c r="I30">
        <v>5.6029999999999998</v>
      </c>
      <c r="J30">
        <v>0.42099999999999999</v>
      </c>
      <c r="K30">
        <v>10.41</v>
      </c>
      <c r="L30">
        <v>63</v>
      </c>
      <c r="M30">
        <v>30.95</v>
      </c>
      <c r="N30">
        <v>41.84</v>
      </c>
      <c r="O30">
        <v>39.32</v>
      </c>
      <c r="P30">
        <f t="shared" si="0"/>
        <v>0.30107526881720464</v>
      </c>
      <c r="Q30">
        <v>475.11</v>
      </c>
      <c r="R30" s="11">
        <v>1.5490533562822725E-2</v>
      </c>
      <c r="S30" s="11">
        <v>-6.0864272671941541E-2</v>
      </c>
      <c r="T30" s="34">
        <v>1.4601769911504423</v>
      </c>
      <c r="U30" s="34">
        <v>0.29653552554315904</v>
      </c>
      <c r="V30">
        <f t="shared" si="1"/>
        <v>8.0010743801652868</v>
      </c>
      <c r="W30">
        <f t="shared" si="2"/>
        <v>5.0020635530462023</v>
      </c>
      <c r="X30">
        <f t="shared" si="3"/>
        <v>1.0158285971443675</v>
      </c>
    </row>
    <row r="31" spans="1:24" x14ac:dyDescent="0.2">
      <c r="A31" s="22">
        <v>30</v>
      </c>
      <c r="B31" s="22">
        <v>3</v>
      </c>
      <c r="C31" s="22" t="s">
        <v>77</v>
      </c>
      <c r="D31" s="22" t="s">
        <v>79</v>
      </c>
      <c r="E31" s="22" t="s">
        <v>76</v>
      </c>
      <c r="F31">
        <v>44</v>
      </c>
      <c r="G31">
        <v>26.52</v>
      </c>
      <c r="H31">
        <v>2.4329999999999998</v>
      </c>
      <c r="I31">
        <v>6.6070000000000002</v>
      </c>
      <c r="J31">
        <v>0.21099999999999999</v>
      </c>
      <c r="K31">
        <v>10.61</v>
      </c>
      <c r="L31">
        <v>64</v>
      </c>
      <c r="M31">
        <v>31.54</v>
      </c>
      <c r="N31">
        <v>44.26</v>
      </c>
      <c r="O31">
        <v>41.68</v>
      </c>
      <c r="P31">
        <f t="shared" si="0"/>
        <v>0.25443786982248501</v>
      </c>
      <c r="Q31">
        <v>316.37</v>
      </c>
      <c r="R31" s="11">
        <v>1.6924842226047052E-2</v>
      </c>
      <c r="S31" s="11">
        <v>0.83688374923919662</v>
      </c>
      <c r="T31" s="34">
        <v>7.4188790560471993</v>
      </c>
      <c r="U31" s="34">
        <v>0.98649442160892542</v>
      </c>
      <c r="V31">
        <f t="shared" si="1"/>
        <v>8.4579716981132087</v>
      </c>
      <c r="W31">
        <f t="shared" si="2"/>
        <v>23.816302689095671</v>
      </c>
      <c r="X31">
        <f t="shared" si="3"/>
        <v>3.1668732659810406</v>
      </c>
    </row>
    <row r="32" spans="1:24" x14ac:dyDescent="0.2">
      <c r="A32" s="22">
        <v>31</v>
      </c>
      <c r="B32" s="22">
        <v>3</v>
      </c>
      <c r="C32" s="22" t="s">
        <v>74</v>
      </c>
      <c r="D32" s="22" t="s">
        <v>75</v>
      </c>
      <c r="E32" s="22" t="s">
        <v>80</v>
      </c>
      <c r="F32">
        <v>29.1</v>
      </c>
      <c r="G32">
        <v>24.603000000000002</v>
      </c>
      <c r="H32">
        <v>2.363</v>
      </c>
      <c r="I32">
        <v>4.4779999999999998</v>
      </c>
      <c r="J32">
        <v>0.25800000000000001</v>
      </c>
      <c r="K32">
        <v>9.9600000000000009</v>
      </c>
      <c r="L32">
        <v>71</v>
      </c>
      <c r="M32">
        <v>30.99</v>
      </c>
      <c r="N32">
        <v>45.04</v>
      </c>
      <c r="O32">
        <v>43.64</v>
      </c>
      <c r="P32">
        <f t="shared" si="0"/>
        <v>0.11067193675889316</v>
      </c>
      <c r="Q32">
        <v>348.66</v>
      </c>
      <c r="R32" s="11">
        <v>3.4136546184738957E-2</v>
      </c>
      <c r="S32" s="11">
        <v>0.31040779062690194</v>
      </c>
      <c r="T32" s="34">
        <v>40.480757885182662</v>
      </c>
      <c r="U32" s="34">
        <v>0.52847915443335292</v>
      </c>
      <c r="V32">
        <f t="shared" si="1"/>
        <v>8.9675444839857672</v>
      </c>
      <c r="W32">
        <f t="shared" si="2"/>
        <v>117.33360235504382</v>
      </c>
      <c r="X32">
        <f t="shared" si="3"/>
        <v>1.5317984691662605</v>
      </c>
    </row>
    <row r="33" spans="1:24" x14ac:dyDescent="0.2">
      <c r="A33" s="22">
        <v>32</v>
      </c>
      <c r="B33" s="22">
        <v>3</v>
      </c>
      <c r="C33" s="22" t="s">
        <v>77</v>
      </c>
      <c r="D33" s="22" t="s">
        <v>75</v>
      </c>
      <c r="E33" s="22" t="s">
        <v>80</v>
      </c>
      <c r="F33">
        <v>32</v>
      </c>
      <c r="G33">
        <v>26.844999999999999</v>
      </c>
      <c r="H33">
        <v>2.4580000000000002</v>
      </c>
      <c r="I33">
        <v>4.7119999999999997</v>
      </c>
      <c r="J33">
        <v>0.16</v>
      </c>
      <c r="K33">
        <v>10.02</v>
      </c>
      <c r="L33">
        <v>68</v>
      </c>
      <c r="M33">
        <v>30.75</v>
      </c>
      <c r="N33">
        <v>41.89</v>
      </c>
      <c r="O33">
        <v>40.76</v>
      </c>
      <c r="P33">
        <f t="shared" si="0"/>
        <v>0.11288711288711316</v>
      </c>
      <c r="Q33">
        <v>329.75</v>
      </c>
      <c r="R33" s="11">
        <v>3.7005163511187614E-2</v>
      </c>
      <c r="S33" s="11">
        <v>0.4290931223371881</v>
      </c>
      <c r="T33" s="34">
        <v>2.0501474926253684</v>
      </c>
      <c r="U33" s="34">
        <v>0.51086318261890773</v>
      </c>
      <c r="V33">
        <f t="shared" si="1"/>
        <v>9.0036086175942529</v>
      </c>
      <c r="W33">
        <f t="shared" si="2"/>
        <v>5.9240068982530971</v>
      </c>
      <c r="X33">
        <f t="shared" si="3"/>
        <v>1.4761655094494996</v>
      </c>
    </row>
    <row r="34" spans="1:24" x14ac:dyDescent="0.2">
      <c r="A34" s="22">
        <v>33</v>
      </c>
      <c r="B34" s="22">
        <v>3</v>
      </c>
      <c r="C34" s="22" t="s">
        <v>74</v>
      </c>
      <c r="D34" s="22" t="s">
        <v>78</v>
      </c>
      <c r="E34" s="22" t="s">
        <v>80</v>
      </c>
      <c r="F34">
        <v>35.5</v>
      </c>
      <c r="G34">
        <v>23.721</v>
      </c>
      <c r="H34">
        <v>2.323</v>
      </c>
      <c r="I34">
        <v>4.4580000000000002</v>
      </c>
      <c r="J34">
        <v>0.218</v>
      </c>
      <c r="K34">
        <v>10.32</v>
      </c>
      <c r="L34">
        <v>69</v>
      </c>
      <c r="M34">
        <v>31.29</v>
      </c>
      <c r="N34">
        <v>41.66</v>
      </c>
      <c r="O34">
        <v>39.81</v>
      </c>
      <c r="P34">
        <f t="shared" si="0"/>
        <v>0.21713615023474103</v>
      </c>
      <c r="Q34">
        <v>366.12</v>
      </c>
      <c r="R34" s="11">
        <v>3.2702237521514632E-2</v>
      </c>
      <c r="S34" s="11">
        <v>1.5763846622032867</v>
      </c>
      <c r="T34" s="34">
        <v>2.4041297935103243</v>
      </c>
      <c r="U34" s="34">
        <v>0.41984732824427484</v>
      </c>
      <c r="V34">
        <f t="shared" si="1"/>
        <v>8.4789199614271986</v>
      </c>
      <c r="W34">
        <f t="shared" si="2"/>
        <v>7.610573104155864</v>
      </c>
      <c r="X34">
        <f t="shared" si="3"/>
        <v>1.3290791507234216</v>
      </c>
    </row>
    <row r="35" spans="1:24" x14ac:dyDescent="0.2">
      <c r="A35" s="22">
        <v>34</v>
      </c>
      <c r="B35" s="22">
        <v>3</v>
      </c>
      <c r="C35" s="22" t="s">
        <v>77</v>
      </c>
      <c r="D35" s="22" t="s">
        <v>78</v>
      </c>
      <c r="E35" s="22" t="s">
        <v>80</v>
      </c>
      <c r="F35">
        <v>38.5</v>
      </c>
      <c r="G35">
        <v>30.082999999999998</v>
      </c>
      <c r="H35">
        <v>2.6760000000000002</v>
      </c>
      <c r="I35">
        <v>6.1180000000000003</v>
      </c>
      <c r="J35">
        <v>0.41499999999999998</v>
      </c>
      <c r="K35">
        <v>10.45</v>
      </c>
      <c r="L35">
        <v>65</v>
      </c>
      <c r="M35">
        <v>31.15</v>
      </c>
      <c r="N35">
        <v>41.47</v>
      </c>
      <c r="O35">
        <v>40.18</v>
      </c>
      <c r="P35">
        <f t="shared" si="0"/>
        <v>0.14285714285714274</v>
      </c>
      <c r="Q35">
        <v>295.82</v>
      </c>
      <c r="R35" s="11">
        <v>1.262191623637407E-2</v>
      </c>
      <c r="S35" s="11">
        <v>4.2604990870359134E-2</v>
      </c>
      <c r="T35" s="34">
        <v>4.2920353982300892</v>
      </c>
      <c r="U35" s="34">
        <v>0.41691133294186733</v>
      </c>
      <c r="V35">
        <f t="shared" si="1"/>
        <v>9.1437500000000007</v>
      </c>
      <c r="W35">
        <f t="shared" si="2"/>
        <v>12.348036220882053</v>
      </c>
      <c r="X35">
        <f t="shared" si="3"/>
        <v>1.1994393713959803</v>
      </c>
    </row>
    <row r="36" spans="1:24" x14ac:dyDescent="0.2">
      <c r="A36" s="22">
        <v>35</v>
      </c>
      <c r="B36" s="22">
        <v>3</v>
      </c>
      <c r="C36" s="22" t="s">
        <v>74</v>
      </c>
      <c r="D36" s="22" t="s">
        <v>79</v>
      </c>
      <c r="E36" s="22" t="s">
        <v>80</v>
      </c>
      <c r="F36">
        <v>37.5</v>
      </c>
      <c r="G36">
        <v>21.614000000000001</v>
      </c>
      <c r="H36">
        <v>1.8460000000000001</v>
      </c>
      <c r="I36">
        <v>5.8010000000000002</v>
      </c>
      <c r="J36">
        <v>0.19</v>
      </c>
      <c r="K36">
        <v>10.7</v>
      </c>
      <c r="L36">
        <v>61</v>
      </c>
      <c r="M36">
        <v>31.37</v>
      </c>
      <c r="N36">
        <v>40.659999999999997</v>
      </c>
      <c r="O36">
        <v>38.659999999999997</v>
      </c>
      <c r="P36">
        <f t="shared" si="0"/>
        <v>0.27434842249657082</v>
      </c>
      <c r="Q36">
        <v>505.78999999999996</v>
      </c>
      <c r="R36" s="11">
        <v>6.8846815834767618E-3</v>
      </c>
      <c r="S36" s="11">
        <v>3.0432136335970812E-2</v>
      </c>
      <c r="T36" s="34">
        <v>0.82595870206489674</v>
      </c>
      <c r="U36" s="34">
        <v>0.15854374633000584</v>
      </c>
      <c r="V36">
        <f t="shared" si="1"/>
        <v>8.3964477933261552</v>
      </c>
      <c r="W36">
        <f t="shared" si="2"/>
        <v>2.6858508618740449</v>
      </c>
      <c r="X36">
        <f t="shared" si="3"/>
        <v>0.51555223846013598</v>
      </c>
    </row>
    <row r="37" spans="1:24" x14ac:dyDescent="0.2">
      <c r="A37" s="22">
        <v>36</v>
      </c>
      <c r="B37" s="22">
        <v>3</v>
      </c>
      <c r="C37" s="22" t="s">
        <v>77</v>
      </c>
      <c r="D37" s="22" t="s">
        <v>79</v>
      </c>
      <c r="E37" s="22" t="s">
        <v>80</v>
      </c>
      <c r="F37">
        <v>40</v>
      </c>
      <c r="G37">
        <v>26.292000000000002</v>
      </c>
      <c r="H37">
        <v>2.2629999999999999</v>
      </c>
      <c r="I37">
        <v>6.1239999999999997</v>
      </c>
      <c r="J37">
        <v>0.216</v>
      </c>
      <c r="K37">
        <v>10.71</v>
      </c>
      <c r="L37">
        <v>72</v>
      </c>
      <c r="M37">
        <v>30.64</v>
      </c>
      <c r="N37">
        <v>44</v>
      </c>
      <c r="O37">
        <v>41.68</v>
      </c>
      <c r="P37">
        <f t="shared" si="0"/>
        <v>0.21014492753623193</v>
      </c>
      <c r="Q37">
        <v>480.99</v>
      </c>
      <c r="R37" s="11">
        <v>6.8846815834767618E-3</v>
      </c>
      <c r="S37" s="11">
        <v>0.17041996348143637</v>
      </c>
      <c r="T37" s="34">
        <v>11.946902654867257</v>
      </c>
      <c r="U37" s="34">
        <v>0.56371109806224307</v>
      </c>
      <c r="V37">
        <f t="shared" si="1"/>
        <v>8.8501796407185633</v>
      </c>
      <c r="W37">
        <f t="shared" si="2"/>
        <v>36.258208554680046</v>
      </c>
      <c r="X37">
        <f t="shared" si="3"/>
        <v>1.710832937087793</v>
      </c>
    </row>
    <row r="38" spans="1:24" x14ac:dyDescent="0.2">
      <c r="A38" s="22">
        <v>37</v>
      </c>
      <c r="B38" s="22">
        <v>4</v>
      </c>
      <c r="C38" s="22" t="s">
        <v>74</v>
      </c>
      <c r="D38" s="22" t="s">
        <v>75</v>
      </c>
      <c r="E38" s="22" t="s">
        <v>76</v>
      </c>
      <c r="F38">
        <v>28.1</v>
      </c>
      <c r="G38">
        <v>24.510999999999999</v>
      </c>
      <c r="H38">
        <v>2.3290000000000002</v>
      </c>
      <c r="I38">
        <v>4.0069999999999997</v>
      </c>
      <c r="J38">
        <v>0.26300000000000001</v>
      </c>
      <c r="K38">
        <v>10.29</v>
      </c>
      <c r="L38" t="s">
        <v>90</v>
      </c>
      <c r="M38">
        <v>31.28</v>
      </c>
      <c r="N38">
        <v>43.22</v>
      </c>
      <c r="O38">
        <v>41.86</v>
      </c>
      <c r="P38">
        <f t="shared" si="0"/>
        <v>0.12854442344045366</v>
      </c>
      <c r="Q38">
        <v>346.57</v>
      </c>
      <c r="R38" s="11">
        <v>0.67814113597246117</v>
      </c>
      <c r="S38" s="11">
        <v>0.79123554473524038</v>
      </c>
      <c r="T38" s="34">
        <v>26.096142500567286</v>
      </c>
      <c r="U38" s="34">
        <v>1.0921902524955962</v>
      </c>
      <c r="V38">
        <f t="shared" si="1"/>
        <v>9.1179396984924619</v>
      </c>
      <c r="W38">
        <f t="shared" si="2"/>
        <v>74.906156187291359</v>
      </c>
      <c r="X38">
        <f t="shared" si="3"/>
        <v>3.1350140595643157</v>
      </c>
    </row>
    <row r="39" spans="1:24" x14ac:dyDescent="0.2">
      <c r="A39" s="22">
        <v>38</v>
      </c>
      <c r="B39" s="22">
        <v>4</v>
      </c>
      <c r="C39" s="22" t="s">
        <v>77</v>
      </c>
      <c r="D39" s="22" t="s">
        <v>75</v>
      </c>
      <c r="E39" s="22" t="s">
        <v>76</v>
      </c>
      <c r="F39">
        <v>29.3</v>
      </c>
      <c r="G39">
        <v>25.713999999999999</v>
      </c>
      <c r="H39">
        <v>2.2519999999999998</v>
      </c>
      <c r="I39">
        <v>5.2080000000000002</v>
      </c>
      <c r="J39">
        <v>0.32600000000000001</v>
      </c>
      <c r="K39">
        <v>10.029999999999999</v>
      </c>
      <c r="L39">
        <v>137</v>
      </c>
      <c r="M39">
        <v>31.27</v>
      </c>
      <c r="N39">
        <v>43.11</v>
      </c>
      <c r="O39">
        <v>41.75</v>
      </c>
      <c r="P39">
        <f t="shared" si="0"/>
        <v>0.12977099236641215</v>
      </c>
      <c r="Q39">
        <v>332.01</v>
      </c>
      <c r="R39" s="11">
        <v>3.5570854847963282E-2</v>
      </c>
      <c r="S39" s="11">
        <v>1.2842361533779671</v>
      </c>
      <c r="T39" s="34">
        <v>32.711527115951903</v>
      </c>
      <c r="U39" s="34">
        <v>0.6870229007633587</v>
      </c>
      <c r="V39">
        <f t="shared" si="1"/>
        <v>8.8779054054054054</v>
      </c>
      <c r="W39">
        <f t="shared" si="2"/>
        <v>96.359998491215663</v>
      </c>
      <c r="X39">
        <f t="shared" si="3"/>
        <v>2.0237980772442881</v>
      </c>
    </row>
    <row r="40" spans="1:24" x14ac:dyDescent="0.2">
      <c r="A40" s="22">
        <v>39</v>
      </c>
      <c r="B40" s="22">
        <v>4</v>
      </c>
      <c r="C40" s="22" t="s">
        <v>74</v>
      </c>
      <c r="D40" s="22" t="s">
        <v>78</v>
      </c>
      <c r="E40" s="22" t="s">
        <v>76</v>
      </c>
      <c r="F40">
        <v>29.9</v>
      </c>
      <c r="G40">
        <v>20.942</v>
      </c>
      <c r="H40">
        <v>1.8859999999999999</v>
      </c>
      <c r="I40">
        <v>3.9020000000000001</v>
      </c>
      <c r="J40">
        <v>0.28999999999999998</v>
      </c>
      <c r="K40">
        <v>10.15</v>
      </c>
      <c r="L40">
        <v>138</v>
      </c>
      <c r="M40">
        <v>31.26</v>
      </c>
      <c r="N40">
        <v>43.78</v>
      </c>
      <c r="O40">
        <v>41.37</v>
      </c>
      <c r="P40">
        <f t="shared" si="0"/>
        <v>0.23837784371909046</v>
      </c>
      <c r="Q40">
        <v>505.18</v>
      </c>
      <c r="R40" s="11">
        <v>9.7532989099254168E-3</v>
      </c>
      <c r="S40" s="11">
        <v>0.29214850882531962</v>
      </c>
      <c r="T40" s="34">
        <v>5</v>
      </c>
      <c r="U40" s="34">
        <v>0.48150322959483255</v>
      </c>
      <c r="V40">
        <f t="shared" si="1"/>
        <v>8.1962060702875377</v>
      </c>
      <c r="W40">
        <f t="shared" si="2"/>
        <v>16.44284788508671</v>
      </c>
      <c r="X40">
        <f t="shared" si="3"/>
        <v>1.5834568720811628</v>
      </c>
    </row>
    <row r="41" spans="1:24" x14ac:dyDescent="0.2">
      <c r="A41" s="22">
        <v>40</v>
      </c>
      <c r="B41" s="22">
        <v>4</v>
      </c>
      <c r="C41" s="22" t="s">
        <v>77</v>
      </c>
      <c r="D41" s="22" t="s">
        <v>78</v>
      </c>
      <c r="E41" s="22" t="s">
        <v>76</v>
      </c>
      <c r="F41">
        <v>34.6</v>
      </c>
      <c r="G41">
        <v>30.306000000000001</v>
      </c>
      <c r="H41">
        <v>2.1440000000000001</v>
      </c>
      <c r="I41">
        <v>3.847</v>
      </c>
      <c r="J41">
        <v>0.39200000000000002</v>
      </c>
      <c r="K41">
        <v>10.27</v>
      </c>
      <c r="L41" t="s">
        <v>91</v>
      </c>
      <c r="M41">
        <v>31.24</v>
      </c>
      <c r="N41">
        <v>44.33</v>
      </c>
      <c r="O41">
        <v>41.47</v>
      </c>
      <c r="P41">
        <f t="shared" si="0"/>
        <v>0.2795698924731182</v>
      </c>
      <c r="Q41">
        <v>410.46999999999997</v>
      </c>
      <c r="R41" s="11">
        <v>2.6965002868617322E-2</v>
      </c>
      <c r="S41" s="11">
        <v>0.83079732197200251</v>
      </c>
      <c r="T41" s="34">
        <v>0.98820058997050142</v>
      </c>
      <c r="U41" s="34">
        <v>1.0951262477980033</v>
      </c>
      <c r="V41">
        <f t="shared" si="1"/>
        <v>8.0261344537815127</v>
      </c>
      <c r="W41">
        <f t="shared" si="2"/>
        <v>3.3543425120626575</v>
      </c>
      <c r="X41">
        <f t="shared" si="3"/>
        <v>3.7172903622473665</v>
      </c>
    </row>
    <row r="42" spans="1:24" x14ac:dyDescent="0.2">
      <c r="A42" s="22">
        <v>41</v>
      </c>
      <c r="B42" s="22">
        <v>4</v>
      </c>
      <c r="C42" s="22" t="s">
        <v>74</v>
      </c>
      <c r="D42" s="22" t="s">
        <v>79</v>
      </c>
      <c r="E42" s="22" t="s">
        <v>76</v>
      </c>
      <c r="F42">
        <v>40.799999999999997</v>
      </c>
      <c r="G42">
        <v>21.294</v>
      </c>
      <c r="H42">
        <v>1.9330000000000001</v>
      </c>
      <c r="I42">
        <v>5.47</v>
      </c>
      <c r="J42">
        <v>0.192</v>
      </c>
      <c r="K42">
        <v>10.48</v>
      </c>
      <c r="L42">
        <v>109</v>
      </c>
      <c r="M42">
        <v>31.29</v>
      </c>
      <c r="N42">
        <v>42.41</v>
      </c>
      <c r="O42">
        <v>39.869999999999997</v>
      </c>
      <c r="P42">
        <f t="shared" si="0"/>
        <v>0.296037296037296</v>
      </c>
      <c r="Q42">
        <v>520.88</v>
      </c>
      <c r="R42" s="11">
        <v>1.4056224899598397E-2</v>
      </c>
      <c r="S42" s="11">
        <v>6.0864272671941541E-2</v>
      </c>
      <c r="T42" s="34">
        <v>1.2389380530973453</v>
      </c>
      <c r="U42" s="34">
        <v>0.42571931884908987</v>
      </c>
      <c r="V42">
        <f t="shared" si="1"/>
        <v>8.0861870503597117</v>
      </c>
      <c r="W42">
        <f t="shared" si="2"/>
        <v>4.1971867669361433</v>
      </c>
      <c r="X42">
        <f t="shared" si="3"/>
        <v>1.442221818141278</v>
      </c>
    </row>
    <row r="43" spans="1:24" x14ac:dyDescent="0.2">
      <c r="A43" s="22">
        <v>42</v>
      </c>
      <c r="B43" s="22">
        <v>4</v>
      </c>
      <c r="C43" s="22" t="s">
        <v>77</v>
      </c>
      <c r="D43" s="22" t="s">
        <v>79</v>
      </c>
      <c r="E43" s="22" t="s">
        <v>76</v>
      </c>
      <c r="F43">
        <v>37.1</v>
      </c>
      <c r="G43">
        <v>30.623000000000001</v>
      </c>
      <c r="H43">
        <v>2.8959999999999999</v>
      </c>
      <c r="I43">
        <v>5.9320000000000004</v>
      </c>
      <c r="J43">
        <v>0.28899999999999998</v>
      </c>
      <c r="K43">
        <v>10.42</v>
      </c>
      <c r="L43">
        <v>49</v>
      </c>
      <c r="M43">
        <v>31.51</v>
      </c>
      <c r="N43">
        <v>44.37</v>
      </c>
      <c r="O43">
        <v>41.54</v>
      </c>
      <c r="P43">
        <f t="shared" si="0"/>
        <v>0.28215353938185433</v>
      </c>
      <c r="Q43">
        <v>316.87</v>
      </c>
      <c r="R43" s="11">
        <v>2.4096385542168686E-2</v>
      </c>
      <c r="S43" s="11">
        <v>1.1016433353621427</v>
      </c>
      <c r="T43" s="34">
        <v>4.174041297935104</v>
      </c>
      <c r="U43" s="34">
        <v>0.82207868467410439</v>
      </c>
      <c r="V43">
        <f t="shared" si="1"/>
        <v>8.1269517884914464</v>
      </c>
      <c r="W43">
        <f t="shared" si="2"/>
        <v>14.017840064302534</v>
      </c>
      <c r="X43">
        <f t="shared" si="3"/>
        <v>2.7608178020985545</v>
      </c>
    </row>
    <row r="44" spans="1:24" x14ac:dyDescent="0.2">
      <c r="A44" s="22">
        <v>43</v>
      </c>
      <c r="B44" s="22">
        <v>4</v>
      </c>
      <c r="C44" s="22" t="s">
        <v>74</v>
      </c>
      <c r="D44" s="22" t="s">
        <v>75</v>
      </c>
      <c r="E44" s="22" t="s">
        <v>80</v>
      </c>
      <c r="F44">
        <v>29</v>
      </c>
      <c r="G44">
        <v>26.902999999999999</v>
      </c>
      <c r="H44">
        <v>2.5950000000000002</v>
      </c>
      <c r="I44">
        <v>4.375</v>
      </c>
      <c r="J44">
        <v>0.32400000000000001</v>
      </c>
      <c r="K44">
        <v>10.73</v>
      </c>
      <c r="L44" t="s">
        <v>92</v>
      </c>
      <c r="M44">
        <v>31.37</v>
      </c>
      <c r="N44">
        <v>43.16</v>
      </c>
      <c r="O44">
        <v>41.85</v>
      </c>
      <c r="P44">
        <f t="shared" si="0"/>
        <v>0.12499999999999953</v>
      </c>
      <c r="Q44">
        <v>247.28</v>
      </c>
      <c r="R44" s="11">
        <v>2.4096385542168686E-2</v>
      </c>
      <c r="S44" s="11">
        <v>0.37735849056603771</v>
      </c>
      <c r="T44" s="34">
        <v>3.053097345132743</v>
      </c>
      <c r="U44" s="34">
        <v>0.32589547856723422</v>
      </c>
      <c r="V44">
        <f t="shared" si="1"/>
        <v>9.5377777777777819</v>
      </c>
      <c r="W44">
        <f t="shared" si="2"/>
        <v>8.3842804889112426</v>
      </c>
      <c r="X44">
        <f t="shared" si="3"/>
        <v>0.89495970599550423</v>
      </c>
    </row>
    <row r="45" spans="1:24" x14ac:dyDescent="0.2">
      <c r="A45" s="22">
        <v>44</v>
      </c>
      <c r="B45" s="22">
        <v>4</v>
      </c>
      <c r="C45" s="22" t="s">
        <v>77</v>
      </c>
      <c r="D45" s="22" t="s">
        <v>75</v>
      </c>
      <c r="E45" s="22" t="s">
        <v>80</v>
      </c>
      <c r="F45">
        <v>35.299999999999997</v>
      </c>
      <c r="G45">
        <v>26.56</v>
      </c>
      <c r="H45">
        <v>2.194</v>
      </c>
      <c r="I45">
        <v>4.6390000000000002</v>
      </c>
      <c r="J45">
        <v>0.35399999999999998</v>
      </c>
      <c r="K45">
        <v>9.91</v>
      </c>
      <c r="L45" t="s">
        <v>93</v>
      </c>
      <c r="M45">
        <v>31.74</v>
      </c>
      <c r="N45">
        <v>46.22</v>
      </c>
      <c r="O45">
        <v>44.72</v>
      </c>
      <c r="P45">
        <f t="shared" si="0"/>
        <v>0.11556240369799692</v>
      </c>
      <c r="Q45">
        <v>302.27999999999997</v>
      </c>
      <c r="R45" s="11">
        <v>0.10154905335628228</v>
      </c>
      <c r="S45" s="11">
        <v>1.5246500304321366</v>
      </c>
      <c r="T45" s="34">
        <v>9.2477876106194703</v>
      </c>
      <c r="U45" s="34">
        <v>0.58719906048150328</v>
      </c>
      <c r="V45">
        <f t="shared" si="1"/>
        <v>8.8834116022099447</v>
      </c>
      <c r="W45">
        <f t="shared" si="2"/>
        <v>27.094135959195992</v>
      </c>
      <c r="X45">
        <f t="shared" si="3"/>
        <v>1.7203737639398793</v>
      </c>
    </row>
    <row r="46" spans="1:24" x14ac:dyDescent="0.2">
      <c r="A46" s="22">
        <v>45</v>
      </c>
      <c r="B46" s="22">
        <v>4</v>
      </c>
      <c r="C46" s="22" t="s">
        <v>74</v>
      </c>
      <c r="D46" s="22" t="s">
        <v>78</v>
      </c>
      <c r="E46" s="22" t="s">
        <v>80</v>
      </c>
      <c r="F46">
        <v>34.6</v>
      </c>
      <c r="G46">
        <v>22.786000000000001</v>
      </c>
      <c r="H46">
        <v>2.0880000000000001</v>
      </c>
      <c r="I46">
        <v>5.0940000000000003</v>
      </c>
      <c r="J46">
        <v>0.22600000000000001</v>
      </c>
      <c r="K46">
        <v>10.58</v>
      </c>
      <c r="L46">
        <v>130</v>
      </c>
      <c r="M46">
        <v>31.1</v>
      </c>
      <c r="N46">
        <v>42.59</v>
      </c>
      <c r="O46">
        <v>40.49</v>
      </c>
      <c r="P46">
        <f t="shared" si="0"/>
        <v>0.22364217252396179</v>
      </c>
      <c r="Q46">
        <v>384.08</v>
      </c>
      <c r="R46" s="11">
        <v>2.8399311531841647E-2</v>
      </c>
      <c r="S46" s="11">
        <v>3.2440657334144851</v>
      </c>
      <c r="T46" s="34">
        <v>5.9587020648967561</v>
      </c>
      <c r="U46" s="34">
        <v>0.48737522019964763</v>
      </c>
      <c r="V46">
        <f t="shared" si="1"/>
        <v>8.6463185378590079</v>
      </c>
      <c r="W46">
        <f t="shared" si="2"/>
        <v>18.561632056580617</v>
      </c>
      <c r="X46">
        <f t="shared" si="3"/>
        <v>1.5181963139480377</v>
      </c>
    </row>
    <row r="47" spans="1:24" x14ac:dyDescent="0.2">
      <c r="A47" s="22">
        <v>46</v>
      </c>
      <c r="B47" s="22">
        <v>4</v>
      </c>
      <c r="C47" s="22" t="s">
        <v>77</v>
      </c>
      <c r="D47" s="22" t="s">
        <v>78</v>
      </c>
      <c r="E47" s="22" t="s">
        <v>80</v>
      </c>
      <c r="F47">
        <v>39.5</v>
      </c>
      <c r="G47">
        <v>30.934999999999999</v>
      </c>
      <c r="H47">
        <v>2.2559999999999998</v>
      </c>
      <c r="I47">
        <v>5.6349999999999998</v>
      </c>
      <c r="J47">
        <v>0.36299999999999999</v>
      </c>
      <c r="K47">
        <v>10.44</v>
      </c>
      <c r="L47" t="s">
        <v>94</v>
      </c>
      <c r="M47">
        <v>31.62</v>
      </c>
      <c r="N47">
        <v>44.06</v>
      </c>
      <c r="O47">
        <v>42.03</v>
      </c>
      <c r="P47">
        <f t="shared" si="0"/>
        <v>0.19500480307396745</v>
      </c>
      <c r="Q47">
        <v>338.27</v>
      </c>
      <c r="R47" s="11">
        <v>3.7005163511187614E-2</v>
      </c>
      <c r="S47" s="11">
        <v>0.55386488131466827</v>
      </c>
      <c r="T47" s="34">
        <v>38.865373269798049</v>
      </c>
      <c r="U47" s="34">
        <v>0.74867880211391657</v>
      </c>
      <c r="V47">
        <f t="shared" si="1"/>
        <v>8.7363665594855284</v>
      </c>
      <c r="W47">
        <f t="shared" si="2"/>
        <v>118.79614645960709</v>
      </c>
      <c r="X47">
        <f t="shared" si="3"/>
        <v>2.2884163754125746</v>
      </c>
    </row>
    <row r="48" spans="1:24" x14ac:dyDescent="0.2">
      <c r="A48" s="22">
        <v>47</v>
      </c>
      <c r="B48" s="22">
        <v>4</v>
      </c>
      <c r="C48" s="22" t="s">
        <v>74</v>
      </c>
      <c r="D48" s="22" t="s">
        <v>79</v>
      </c>
      <c r="E48" s="22" t="s">
        <v>80</v>
      </c>
      <c r="F48">
        <v>40.1</v>
      </c>
      <c r="G48">
        <v>29.381</v>
      </c>
      <c r="H48">
        <v>2.4369999999999998</v>
      </c>
      <c r="I48">
        <v>5.4980000000000002</v>
      </c>
      <c r="J48">
        <v>0.26500000000000001</v>
      </c>
      <c r="K48">
        <v>9.76</v>
      </c>
      <c r="L48">
        <v>43</v>
      </c>
      <c r="M48">
        <v>31.38</v>
      </c>
      <c r="N48">
        <v>45.03</v>
      </c>
      <c r="O48">
        <v>42.08</v>
      </c>
      <c r="P48">
        <f t="shared" si="0"/>
        <v>0.27570093457943956</v>
      </c>
      <c r="Q48">
        <v>470.9</v>
      </c>
      <c r="R48" s="11">
        <v>1.835915088927138E-2</v>
      </c>
      <c r="S48" s="11">
        <v>1.5216068167985406E-2</v>
      </c>
      <c r="T48" s="34">
        <v>3.9675516224188789</v>
      </c>
      <c r="U48" s="34">
        <v>0.64591896652965342</v>
      </c>
      <c r="V48">
        <f t="shared" si="1"/>
        <v>7.6506959706959679</v>
      </c>
      <c r="W48">
        <f t="shared" si="2"/>
        <v>14.058533183919941</v>
      </c>
      <c r="X48">
        <f t="shared" si="3"/>
        <v>2.2887347385146901</v>
      </c>
    </row>
    <row r="49" spans="1:24" x14ac:dyDescent="0.2">
      <c r="A49" s="22">
        <v>48</v>
      </c>
      <c r="B49" s="22">
        <v>4</v>
      </c>
      <c r="C49" s="22" t="s">
        <v>77</v>
      </c>
      <c r="D49" s="22" t="s">
        <v>79</v>
      </c>
      <c r="E49" s="22" t="s">
        <v>80</v>
      </c>
      <c r="F49">
        <v>46.3</v>
      </c>
      <c r="G49">
        <v>28.959</v>
      </c>
      <c r="H49">
        <v>2.367</v>
      </c>
      <c r="I49">
        <v>6.2720000000000002</v>
      </c>
      <c r="J49">
        <v>0.13900000000000001</v>
      </c>
      <c r="K49">
        <v>10.07</v>
      </c>
      <c r="L49">
        <v>55</v>
      </c>
      <c r="M49">
        <v>30.84</v>
      </c>
      <c r="N49">
        <v>41.44</v>
      </c>
      <c r="O49">
        <v>39.520000000000003</v>
      </c>
      <c r="P49">
        <f t="shared" si="0"/>
        <v>0.22119815668202694</v>
      </c>
      <c r="Q49">
        <v>373.66</v>
      </c>
      <c r="R49" s="11">
        <v>2.2662076878944358E-2</v>
      </c>
      <c r="S49" s="11">
        <v>-7.9123554473524024E-2</v>
      </c>
      <c r="T49" s="34">
        <v>6.6224188790560472</v>
      </c>
      <c r="U49" s="34">
        <v>0.6165590135055784</v>
      </c>
      <c r="V49">
        <f t="shared" si="1"/>
        <v>8.2460000000000058</v>
      </c>
      <c r="W49">
        <f t="shared" si="2"/>
        <v>21.54253747414495</v>
      </c>
      <c r="X49">
        <f t="shared" si="3"/>
        <v>2.0056486755122021</v>
      </c>
    </row>
    <row r="50" spans="1:24" x14ac:dyDescent="0.2">
      <c r="A50" s="22">
        <v>49</v>
      </c>
      <c r="B50" s="22">
        <v>5</v>
      </c>
      <c r="C50" s="22" t="s">
        <v>74</v>
      </c>
      <c r="D50" s="22" t="s">
        <v>75</v>
      </c>
      <c r="E50" s="22" t="s">
        <v>76</v>
      </c>
      <c r="F50">
        <v>28.1</v>
      </c>
      <c r="G50">
        <v>25.844000000000001</v>
      </c>
      <c r="H50">
        <v>2.4489999999999998</v>
      </c>
      <c r="I50">
        <v>3.8769999999999998</v>
      </c>
      <c r="J50">
        <v>0.23200000000000001</v>
      </c>
      <c r="K50">
        <v>10.44</v>
      </c>
      <c r="L50">
        <v>54</v>
      </c>
      <c r="M50">
        <v>31.15</v>
      </c>
      <c r="N50">
        <v>43.4</v>
      </c>
      <c r="O50">
        <v>41.69</v>
      </c>
      <c r="P50">
        <f t="shared" si="0"/>
        <v>0.16223908918406083</v>
      </c>
      <c r="Q50">
        <v>326</v>
      </c>
      <c r="R50" s="11">
        <v>2.5530694205392994E-2</v>
      </c>
      <c r="S50" s="11">
        <v>0.70906877662811929</v>
      </c>
      <c r="T50" s="34">
        <v>9.9557522123893811</v>
      </c>
      <c r="U50" s="34">
        <v>0.56371109806224307</v>
      </c>
      <c r="V50">
        <f t="shared" si="1"/>
        <v>8.9826612244897941</v>
      </c>
      <c r="W50">
        <f t="shared" si="2"/>
        <v>29.323460215787229</v>
      </c>
      <c r="X50">
        <f t="shared" si="3"/>
        <v>1.6603426445924701</v>
      </c>
    </row>
    <row r="51" spans="1:24" x14ac:dyDescent="0.2">
      <c r="A51" s="22">
        <v>50</v>
      </c>
      <c r="B51" s="22">
        <v>5</v>
      </c>
      <c r="C51" s="22" t="s">
        <v>77</v>
      </c>
      <c r="D51" s="22" t="s">
        <v>75</v>
      </c>
      <c r="E51" s="22" t="s">
        <v>76</v>
      </c>
      <c r="F51">
        <v>30.2</v>
      </c>
      <c r="G51">
        <v>27.72</v>
      </c>
      <c r="H51">
        <v>2.6480000000000001</v>
      </c>
      <c r="I51">
        <v>4.6310000000000002</v>
      </c>
      <c r="J51">
        <v>0.29099999999999998</v>
      </c>
      <c r="K51">
        <v>10.32</v>
      </c>
      <c r="L51">
        <v>51</v>
      </c>
      <c r="M51">
        <v>31.54</v>
      </c>
      <c r="N51">
        <v>45.73</v>
      </c>
      <c r="O51">
        <v>44.09</v>
      </c>
      <c r="P51">
        <f t="shared" si="0"/>
        <v>0.13067729083665283</v>
      </c>
      <c r="Q51">
        <v>233.32</v>
      </c>
      <c r="R51" s="11">
        <v>2.4096385542168686E-2</v>
      </c>
      <c r="S51" s="11">
        <v>3.3627510651247716</v>
      </c>
      <c r="T51" s="34">
        <v>44.557680962105735</v>
      </c>
      <c r="U51" s="34">
        <v>0.50792718731650022</v>
      </c>
      <c r="V51">
        <f t="shared" si="1"/>
        <v>9.1272727272727305</v>
      </c>
      <c r="W51">
        <f t="shared" si="2"/>
        <v>127.86811791635355</v>
      </c>
      <c r="X51">
        <f t="shared" si="3"/>
        <v>1.457609374597908</v>
      </c>
    </row>
    <row r="52" spans="1:24" x14ac:dyDescent="0.2">
      <c r="A52" s="22">
        <v>51</v>
      </c>
      <c r="B52" s="22">
        <v>5</v>
      </c>
      <c r="C52" s="22" t="s">
        <v>74</v>
      </c>
      <c r="D52" s="22" t="s">
        <v>78</v>
      </c>
      <c r="E52" s="22" t="s">
        <v>76</v>
      </c>
      <c r="F52">
        <v>35.200000000000003</v>
      </c>
      <c r="G52">
        <v>24</v>
      </c>
      <c r="H52">
        <v>2.4049999999999998</v>
      </c>
      <c r="I52">
        <v>4.7240000000000002</v>
      </c>
      <c r="J52">
        <v>0.34200000000000003</v>
      </c>
      <c r="K52">
        <v>10.79</v>
      </c>
      <c r="L52" t="s">
        <v>95</v>
      </c>
      <c r="M52">
        <v>31.24</v>
      </c>
      <c r="N52">
        <v>42.78</v>
      </c>
      <c r="O52">
        <v>40.200000000000003</v>
      </c>
      <c r="P52">
        <f t="shared" si="0"/>
        <v>0.28794642857142821</v>
      </c>
      <c r="Q52">
        <v>371.78</v>
      </c>
      <c r="R52" s="11">
        <v>2.8399311531841647E-2</v>
      </c>
      <c r="S52" s="11">
        <v>2.924528301886792</v>
      </c>
      <c r="T52" s="34">
        <v>3.053097345132743</v>
      </c>
      <c r="U52" s="34">
        <v>0.39048737522019966</v>
      </c>
      <c r="V52">
        <f t="shared" si="1"/>
        <v>8.3776776429809381</v>
      </c>
      <c r="W52">
        <f t="shared" si="2"/>
        <v>9.9899389996531838</v>
      </c>
      <c r="X52">
        <f t="shared" si="3"/>
        <v>1.2777008452754961</v>
      </c>
    </row>
    <row r="53" spans="1:24" x14ac:dyDescent="0.2">
      <c r="A53" s="22">
        <v>52</v>
      </c>
      <c r="B53" s="22">
        <v>5</v>
      </c>
      <c r="C53" s="22" t="s">
        <v>77</v>
      </c>
      <c r="D53" s="22" t="s">
        <v>78</v>
      </c>
      <c r="E53" s="22" t="s">
        <v>76</v>
      </c>
      <c r="F53">
        <v>39.299999999999997</v>
      </c>
      <c r="G53">
        <v>28.077000000000002</v>
      </c>
      <c r="H53">
        <v>2.3010000000000002</v>
      </c>
      <c r="I53">
        <v>5.702</v>
      </c>
      <c r="J53">
        <v>0.21199999999999999</v>
      </c>
      <c r="K53">
        <v>10.32</v>
      </c>
      <c r="L53" t="s">
        <v>61</v>
      </c>
      <c r="M53">
        <v>31.42</v>
      </c>
      <c r="N53">
        <v>46.42</v>
      </c>
      <c r="O53">
        <v>43.77</v>
      </c>
      <c r="P53">
        <f t="shared" si="0"/>
        <v>0.21457489878542496</v>
      </c>
      <c r="Q53">
        <v>413.34</v>
      </c>
      <c r="R53" s="11">
        <v>2.8399311531841647E-2</v>
      </c>
      <c r="S53" s="11">
        <v>0.26475958612294587</v>
      </c>
      <c r="T53" s="34">
        <v>1.224188790560472</v>
      </c>
      <c r="U53" s="34">
        <v>0.48737522019964763</v>
      </c>
      <c r="V53">
        <f t="shared" si="1"/>
        <v>8.4968000000000004</v>
      </c>
      <c r="W53">
        <f t="shared" si="2"/>
        <v>3.864591465841452</v>
      </c>
      <c r="X53">
        <f t="shared" si="3"/>
        <v>1.5385748760073426</v>
      </c>
    </row>
    <row r="54" spans="1:24" x14ac:dyDescent="0.2">
      <c r="A54" s="22">
        <v>53</v>
      </c>
      <c r="B54" s="22">
        <v>5</v>
      </c>
      <c r="C54" s="22" t="s">
        <v>74</v>
      </c>
      <c r="D54" s="22" t="s">
        <v>79</v>
      </c>
      <c r="E54" s="22" t="s">
        <v>76</v>
      </c>
      <c r="F54">
        <v>39.799999999999997</v>
      </c>
      <c r="G54">
        <v>22.824999999999999</v>
      </c>
      <c r="H54">
        <v>2.0939999999999999</v>
      </c>
      <c r="I54">
        <v>5.1619999999999999</v>
      </c>
      <c r="J54" s="22" t="s">
        <v>84</v>
      </c>
      <c r="K54">
        <v>10.37</v>
      </c>
      <c r="L54" t="s">
        <v>96</v>
      </c>
      <c r="M54">
        <v>31.71</v>
      </c>
      <c r="N54">
        <v>43.11</v>
      </c>
      <c r="O54">
        <v>40.479999999999997</v>
      </c>
      <c r="P54">
        <f t="shared" si="0"/>
        <v>0.2998859749144816</v>
      </c>
      <c r="Q54">
        <v>399.54</v>
      </c>
      <c r="R54" s="11">
        <v>3.4136546184738957E-2</v>
      </c>
      <c r="S54" s="11">
        <v>1.3968350578210591</v>
      </c>
      <c r="T54" s="34">
        <v>1.1504424778761062</v>
      </c>
      <c r="U54" s="34">
        <v>0.36699941280093951</v>
      </c>
      <c r="V54">
        <f t="shared" si="1"/>
        <v>7.977622807017541</v>
      </c>
      <c r="W54">
        <f t="shared" si="2"/>
        <v>3.9502186371973935</v>
      </c>
      <c r="X54">
        <f t="shared" si="3"/>
        <v>1.2601481153261933</v>
      </c>
    </row>
    <row r="55" spans="1:24" x14ac:dyDescent="0.2">
      <c r="A55" s="22">
        <v>54</v>
      </c>
      <c r="B55" s="22">
        <v>5</v>
      </c>
      <c r="C55" s="22" t="s">
        <v>77</v>
      </c>
      <c r="D55" s="22" t="s">
        <v>79</v>
      </c>
      <c r="E55" s="22" t="s">
        <v>76</v>
      </c>
      <c r="F55">
        <v>44.6</v>
      </c>
      <c r="G55">
        <v>27.498000000000001</v>
      </c>
      <c r="H55">
        <v>2.2749999999999999</v>
      </c>
      <c r="I55">
        <v>6.2969999999999997</v>
      </c>
      <c r="J55">
        <v>0.152</v>
      </c>
      <c r="K55">
        <v>10.79</v>
      </c>
      <c r="L55">
        <v>141</v>
      </c>
      <c r="M55">
        <v>31.88</v>
      </c>
      <c r="N55">
        <v>41.87</v>
      </c>
      <c r="O55">
        <v>39.57</v>
      </c>
      <c r="P55">
        <f t="shared" si="0"/>
        <v>0.29908972691807501</v>
      </c>
      <c r="Q55">
        <v>394.71</v>
      </c>
      <c r="R55" s="11">
        <v>2.8399311531841647E-2</v>
      </c>
      <c r="S55" s="11">
        <v>1.4850882531953744</v>
      </c>
      <c r="T55" s="34">
        <v>4.778761061946903</v>
      </c>
      <c r="U55" s="34">
        <v>0.98943041691133293</v>
      </c>
      <c r="V55">
        <f t="shared" si="1"/>
        <v>8.3058158158158175</v>
      </c>
      <c r="W55">
        <f t="shared" si="2"/>
        <v>15.8130582366948</v>
      </c>
      <c r="X55">
        <f t="shared" si="3"/>
        <v>3.2740537978272255</v>
      </c>
    </row>
    <row r="56" spans="1:24" x14ac:dyDescent="0.2">
      <c r="A56" s="22">
        <v>55</v>
      </c>
      <c r="B56" s="22">
        <v>5</v>
      </c>
      <c r="C56" s="22" t="s">
        <v>74</v>
      </c>
      <c r="D56" s="22" t="s">
        <v>75</v>
      </c>
      <c r="E56" s="22" t="s">
        <v>80</v>
      </c>
      <c r="F56">
        <v>27</v>
      </c>
      <c r="G56">
        <v>23.995999999999999</v>
      </c>
      <c r="H56">
        <v>2.0760000000000001</v>
      </c>
      <c r="I56">
        <v>3.7559999999999998</v>
      </c>
      <c r="J56">
        <v>0.221</v>
      </c>
      <c r="K56">
        <v>10.67</v>
      </c>
      <c r="L56">
        <v>136</v>
      </c>
      <c r="M56">
        <v>31.07</v>
      </c>
      <c r="N56">
        <v>43.65</v>
      </c>
      <c r="O56">
        <v>42.34</v>
      </c>
      <c r="P56">
        <f t="shared" si="0"/>
        <v>0.11623779946761267</v>
      </c>
      <c r="Q56">
        <v>337.78</v>
      </c>
      <c r="R56" s="11">
        <v>4.274239816408492E-2</v>
      </c>
      <c r="S56" s="11">
        <v>0.17650639074863053</v>
      </c>
      <c r="T56" s="34">
        <v>1.9911504424778759</v>
      </c>
      <c r="U56" s="34">
        <v>0.26423957721667651</v>
      </c>
      <c r="V56">
        <f t="shared" si="1"/>
        <v>9.5588950715421337</v>
      </c>
      <c r="W56">
        <f t="shared" si="2"/>
        <v>5.4390322043254118</v>
      </c>
      <c r="X56">
        <f t="shared" si="3"/>
        <v>0.72179757966972613</v>
      </c>
    </row>
    <row r="57" spans="1:24" x14ac:dyDescent="0.2">
      <c r="A57" s="22">
        <v>56</v>
      </c>
      <c r="B57" s="22">
        <v>5</v>
      </c>
      <c r="C57" s="22" t="s">
        <v>77</v>
      </c>
      <c r="D57" s="22" t="s">
        <v>75</v>
      </c>
      <c r="E57" s="22" t="s">
        <v>80</v>
      </c>
      <c r="F57">
        <v>29.2</v>
      </c>
      <c r="G57">
        <v>19.646999999999998</v>
      </c>
      <c r="H57">
        <v>1.8120000000000001</v>
      </c>
      <c r="I57">
        <v>4.63</v>
      </c>
      <c r="J57">
        <v>0.26</v>
      </c>
      <c r="K57">
        <v>10.29</v>
      </c>
      <c r="L57" t="s">
        <v>97</v>
      </c>
      <c r="M57">
        <v>31.84</v>
      </c>
      <c r="N57">
        <v>44.32</v>
      </c>
      <c r="O57">
        <v>43.19</v>
      </c>
      <c r="P57">
        <f t="shared" si="0"/>
        <v>9.9559471365639016E-2</v>
      </c>
      <c r="Q57">
        <v>352.63</v>
      </c>
      <c r="R57" s="11">
        <v>0.52753872633390708</v>
      </c>
      <c r="S57" s="11">
        <v>0.52343274497869741</v>
      </c>
      <c r="T57" s="34">
        <v>8.9823008849557535</v>
      </c>
      <c r="U57" s="34">
        <v>0.78391074574280684</v>
      </c>
      <c r="V57">
        <f t="shared" si="1"/>
        <v>9.3582932692307672</v>
      </c>
      <c r="W57">
        <f t="shared" si="2"/>
        <v>24.889836812663557</v>
      </c>
      <c r="X57">
        <f t="shared" si="3"/>
        <v>2.1722062962632505</v>
      </c>
    </row>
    <row r="58" spans="1:24" x14ac:dyDescent="0.2">
      <c r="A58" s="22">
        <v>57</v>
      </c>
      <c r="B58" s="22">
        <v>5</v>
      </c>
      <c r="C58" s="22" t="s">
        <v>74</v>
      </c>
      <c r="D58" s="22" t="s">
        <v>78</v>
      </c>
      <c r="E58" s="22" t="s">
        <v>80</v>
      </c>
      <c r="F58">
        <v>35.200000000000003</v>
      </c>
      <c r="G58">
        <v>28.503</v>
      </c>
      <c r="H58">
        <v>2.6389999999999998</v>
      </c>
      <c r="I58">
        <v>4.6520000000000001</v>
      </c>
      <c r="J58">
        <v>0.22600000000000001</v>
      </c>
      <c r="K58">
        <v>10.029999999999999</v>
      </c>
      <c r="L58">
        <v>143</v>
      </c>
      <c r="M58">
        <v>31.66</v>
      </c>
      <c r="N58">
        <v>44.1</v>
      </c>
      <c r="O58">
        <v>42</v>
      </c>
      <c r="P58">
        <f t="shared" si="0"/>
        <v>0.20309477756286282</v>
      </c>
      <c r="Q58">
        <v>340.42</v>
      </c>
      <c r="R58" s="11">
        <v>4.7045324153757902E-2</v>
      </c>
      <c r="S58" s="11">
        <v>0.37735849056603771</v>
      </c>
      <c r="T58" s="34">
        <v>2.5811209439528024</v>
      </c>
      <c r="U58" s="34">
        <v>0.29066353493834401</v>
      </c>
      <c r="V58">
        <f t="shared" si="1"/>
        <v>8.3368327974276504</v>
      </c>
      <c r="W58">
        <f t="shared" si="2"/>
        <v>8.2643246663471839</v>
      </c>
      <c r="X58">
        <f t="shared" si="3"/>
        <v>0.93065682451900933</v>
      </c>
    </row>
    <row r="59" spans="1:24" x14ac:dyDescent="0.2">
      <c r="A59" s="22">
        <v>58</v>
      </c>
      <c r="B59" s="22">
        <v>5</v>
      </c>
      <c r="C59" s="22" t="s">
        <v>77</v>
      </c>
      <c r="D59" s="22" t="s">
        <v>78</v>
      </c>
      <c r="E59" s="22" t="s">
        <v>80</v>
      </c>
      <c r="F59">
        <v>35.200000000000003</v>
      </c>
      <c r="G59">
        <v>29.047000000000001</v>
      </c>
      <c r="H59">
        <v>2.7050000000000001</v>
      </c>
      <c r="I59">
        <v>4.7949999999999999</v>
      </c>
      <c r="J59">
        <v>0.189</v>
      </c>
      <c r="K59">
        <v>10.79</v>
      </c>
      <c r="L59" t="s">
        <v>98</v>
      </c>
      <c r="M59">
        <v>31.35</v>
      </c>
      <c r="N59">
        <v>43.46</v>
      </c>
      <c r="O59">
        <v>41.62</v>
      </c>
      <c r="P59">
        <f t="shared" si="0"/>
        <v>0.17916260954235677</v>
      </c>
      <c r="Q59">
        <v>329.37</v>
      </c>
      <c r="R59" s="11">
        <v>4.1308089500860588E-2</v>
      </c>
      <c r="S59" s="11">
        <v>1.7924528301886791</v>
      </c>
      <c r="T59" s="34">
        <v>25.942296346721132</v>
      </c>
      <c r="U59" s="34">
        <v>0.91603053435114501</v>
      </c>
      <c r="V59">
        <f t="shared" si="1"/>
        <v>9.1505615194054464</v>
      </c>
      <c r="W59">
        <f t="shared" si="2"/>
        <v>75.524131071984044</v>
      </c>
      <c r="X59">
        <f t="shared" si="3"/>
        <v>2.6667805046109376</v>
      </c>
    </row>
    <row r="60" spans="1:24" x14ac:dyDescent="0.2">
      <c r="A60" s="22">
        <v>59</v>
      </c>
      <c r="B60" s="22">
        <v>5</v>
      </c>
      <c r="C60" s="22" t="s">
        <v>74</v>
      </c>
      <c r="D60" s="22" t="s">
        <v>79</v>
      </c>
      <c r="E60" s="22" t="s">
        <v>80</v>
      </c>
      <c r="F60">
        <v>38.6</v>
      </c>
      <c r="G60">
        <v>23.86</v>
      </c>
      <c r="H60">
        <v>2.5129999999999999</v>
      </c>
      <c r="I60">
        <v>5.085</v>
      </c>
      <c r="J60">
        <v>0.26</v>
      </c>
      <c r="K60">
        <v>9.84</v>
      </c>
      <c r="L60">
        <v>57</v>
      </c>
      <c r="M60">
        <v>31.35</v>
      </c>
      <c r="N60">
        <v>44.35</v>
      </c>
      <c r="O60">
        <v>41.74</v>
      </c>
      <c r="P60">
        <f t="shared" si="0"/>
        <v>0.25120307988450424</v>
      </c>
      <c r="Q60">
        <v>500.27</v>
      </c>
      <c r="R60" s="11">
        <v>1.262191623637407E-2</v>
      </c>
      <c r="S60" s="11">
        <v>7.6080340839926944E-2</v>
      </c>
      <c r="T60" s="34">
        <v>2.8613569321533925</v>
      </c>
      <c r="U60" s="34">
        <v>0.17322372284204343</v>
      </c>
      <c r="V60">
        <f t="shared" si="1"/>
        <v>7.8644307692307702</v>
      </c>
      <c r="W60">
        <f t="shared" si="2"/>
        <v>9.8146622790850788</v>
      </c>
      <c r="X60">
        <f t="shared" si="3"/>
        <v>0.59416996157169777</v>
      </c>
    </row>
    <row r="61" spans="1:24" x14ac:dyDescent="0.2">
      <c r="A61" s="22">
        <v>60</v>
      </c>
      <c r="B61" s="22">
        <v>5</v>
      </c>
      <c r="C61" s="22" t="s">
        <v>77</v>
      </c>
      <c r="D61" s="22" t="s">
        <v>79</v>
      </c>
      <c r="E61" s="22" t="s">
        <v>80</v>
      </c>
      <c r="F61">
        <v>35.799999999999997</v>
      </c>
      <c r="G61">
        <v>25.745000000000001</v>
      </c>
      <c r="H61">
        <v>1.6040000000000001</v>
      </c>
      <c r="I61">
        <v>4.8920000000000003</v>
      </c>
      <c r="J61">
        <v>0.16</v>
      </c>
      <c r="K61">
        <v>9.99</v>
      </c>
      <c r="L61">
        <v>39</v>
      </c>
      <c r="M61">
        <v>31.26</v>
      </c>
      <c r="N61">
        <v>43.03</v>
      </c>
      <c r="O61">
        <v>41.02</v>
      </c>
      <c r="P61">
        <f t="shared" si="0"/>
        <v>0.20594262295081944</v>
      </c>
      <c r="Q61">
        <v>533.81999999999994</v>
      </c>
      <c r="R61" s="11">
        <v>5.4503729202524352E-3</v>
      </c>
      <c r="S61" s="11">
        <v>0.31040779062690194</v>
      </c>
      <c r="T61" s="34">
        <v>1.7699115044247788</v>
      </c>
      <c r="U61" s="34">
        <v>0.46095126247797996</v>
      </c>
      <c r="V61">
        <f t="shared" si="1"/>
        <v>8.283976210705184</v>
      </c>
      <c r="W61">
        <f t="shared" si="2"/>
        <v>5.7058708933799602</v>
      </c>
      <c r="X61">
        <f t="shared" si="3"/>
        <v>1.4860225413895163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READ ME</vt:lpstr>
      <vt:lpstr>Data - MYC-water-N</vt:lpstr>
      <vt:lpstr>15N and 13C</vt:lpstr>
      <vt:lpstr>GH light meter</vt:lpstr>
      <vt:lpstr>Colwell P</vt:lpstr>
      <vt:lpstr>DIN plate layouts</vt:lpstr>
      <vt:lpstr>DIN-pre experiment</vt:lpstr>
      <vt:lpstr>dead leaves</vt:lpstr>
      <vt:lpstr>harvest</vt:lpstr>
      <vt:lpstr>DIN results</vt:lpstr>
      <vt:lpstr>P plate layouts</vt:lpstr>
      <vt:lpstr>P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Timothy Cavagnaro</cp:lastModifiedBy>
  <dcterms:created xsi:type="dcterms:W3CDTF">2015-05-20T03:59:39Z</dcterms:created>
  <dcterms:modified xsi:type="dcterms:W3CDTF">2018-02-14T05:11:27Z</dcterms:modified>
</cp:coreProperties>
</file>