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a1066578/Box Sync/Adelaide/Fellowship/Admin/FInal rpeort/Watts-Williams et al. 2014 meta/"/>
    </mc:Choice>
  </mc:AlternateContent>
  <bookViews>
    <workbookView xWindow="0" yWindow="460" windowWidth="25600" windowHeight="15540" tabRatio="762" xr2:uid="{00000000-000D-0000-FFFF-FFFF00000000}"/>
  </bookViews>
  <sheets>
    <sheet name="READ ME" sheetId="37" r:id="rId1"/>
    <sheet name="Papers matrix" sheetId="36" r:id="rId2"/>
    <sheet name="Data sheet" sheetId="1" r:id="rId3"/>
    <sheet name="Metafor sheet" sheetId="2" r:id="rId4"/>
    <sheet name="Col 2" sheetId="5" state="hidden" r:id="rId5"/>
    <sheet name="Col" sheetId="10" r:id="rId6"/>
    <sheet name="SDW" sheetId="11" r:id="rId7"/>
    <sheet name="RDW" sheetId="12" r:id="rId8"/>
    <sheet name="Shoot P" sheetId="13" r:id="rId9"/>
    <sheet name="Root P" sheetId="14" r:id="rId10"/>
    <sheet name="Shoot Zn" sheetId="15" r:id="rId11"/>
    <sheet name="Root Zn" sheetId="16" r:id="rId12"/>
    <sheet name="Shoot K" sheetId="17" r:id="rId13"/>
    <sheet name="Root K" sheetId="18" r:id="rId14"/>
    <sheet name="Shoot Ca" sheetId="19" r:id="rId15"/>
    <sheet name="Root Ca" sheetId="20" r:id="rId16"/>
    <sheet name="Shoot Cu" sheetId="21" r:id="rId17"/>
    <sheet name="Root Cu" sheetId="22" r:id="rId18"/>
    <sheet name="Shoot Mn" sheetId="23" r:id="rId19"/>
    <sheet name="Root Mn" sheetId="24" r:id="rId20"/>
    <sheet name="Shoot Mg" sheetId="25" r:id="rId21"/>
    <sheet name="Root Mg" sheetId="26" r:id="rId22"/>
    <sheet name="Shoot Na" sheetId="28" r:id="rId23"/>
    <sheet name="Root Na" sheetId="29" r:id="rId24"/>
    <sheet name="Shoot Fe" sheetId="30" r:id="rId25"/>
    <sheet name="Root Fe" sheetId="31" r:id="rId26"/>
    <sheet name="Shoot S" sheetId="32" r:id="rId27"/>
    <sheet name="Root S" sheetId="33" r:id="rId28"/>
    <sheet name="Shoot B" sheetId="34" r:id="rId29"/>
    <sheet name="Root B" sheetId="35" r:id="rId30"/>
    <sheet name="Inoculated" sheetId="27" r:id="rId31"/>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R3" i="12" l="1"/>
  <c r="Q3" i="12"/>
  <c r="S4" i="11"/>
  <c r="S7" i="11" s="1"/>
  <c r="R4" i="11"/>
  <c r="R7" i="11" s="1"/>
  <c r="S5" i="27"/>
  <c r="R5" i="27"/>
  <c r="S4" i="27"/>
  <c r="R4" i="27"/>
  <c r="S3" i="27"/>
  <c r="R3" i="27"/>
  <c r="B23" i="36"/>
  <c r="P15" i="2"/>
  <c r="P16" i="2"/>
  <c r="P17" i="2"/>
  <c r="P18" i="2"/>
  <c r="P19" i="2"/>
  <c r="P14" i="2"/>
  <c r="P27" i="2"/>
  <c r="P26" i="2"/>
  <c r="O34" i="2"/>
  <c r="P34" i="2"/>
  <c r="O35" i="2"/>
  <c r="P35" i="2"/>
  <c r="O36" i="2"/>
  <c r="P36" i="2"/>
  <c r="O37" i="2"/>
  <c r="P37" i="2"/>
  <c r="O38" i="2"/>
  <c r="P38" i="2"/>
  <c r="O39" i="2"/>
  <c r="P39" i="2"/>
  <c r="P33" i="2"/>
  <c r="O33" i="2"/>
  <c r="P68" i="2"/>
  <c r="O68" i="2"/>
  <c r="P97" i="2"/>
  <c r="P98" i="2"/>
  <c r="P99" i="2"/>
  <c r="P96" i="2"/>
  <c r="O97" i="2"/>
  <c r="O98" i="2"/>
  <c r="O99" i="2"/>
  <c r="O96" i="2"/>
  <c r="BW27" i="2"/>
  <c r="BX27" i="2"/>
  <c r="BX26" i="2"/>
  <c r="BW26" i="2"/>
  <c r="BP26" i="2"/>
  <c r="BP27" i="2"/>
  <c r="BO27" i="2"/>
  <c r="BO26" i="2"/>
  <c r="AY27" i="2"/>
  <c r="AZ27" i="2"/>
  <c r="AZ26" i="2"/>
  <c r="AY26" i="2"/>
  <c r="AQ27" i="2"/>
  <c r="AR27" i="2"/>
  <c r="AR26" i="2"/>
  <c r="AQ26" i="2"/>
  <c r="AI29" i="2"/>
  <c r="AJ29" i="2"/>
  <c r="AJ28" i="2"/>
  <c r="AI28" i="2"/>
  <c r="AN25" i="2"/>
  <c r="AJ25" i="2"/>
  <c r="AF25" i="2"/>
  <c r="AB25" i="2"/>
  <c r="AB29" i="2"/>
  <c r="AB28" i="2"/>
  <c r="AA29" i="2"/>
  <c r="AA28" i="2"/>
  <c r="T68" i="2"/>
  <c r="S68" i="2"/>
  <c r="R25" i="2"/>
  <c r="T25" i="2" s="1"/>
  <c r="S29" i="2"/>
  <c r="T29" i="2"/>
  <c r="T28" i="2"/>
  <c r="S28" i="2"/>
  <c r="T100" i="2"/>
  <c r="S100" i="2"/>
  <c r="X100" i="2"/>
  <c r="W100" i="2"/>
  <c r="X26" i="2"/>
  <c r="X27" i="2"/>
  <c r="W27" i="2"/>
  <c r="W26" i="2"/>
  <c r="X25" i="2"/>
  <c r="AI202" i="1"/>
  <c r="AI201" i="1"/>
  <c r="AE25" i="2"/>
  <c r="AA25" i="2"/>
  <c r="AA30" i="2"/>
  <c r="AB30" i="2"/>
  <c r="AA27" i="2"/>
  <c r="AB27" i="2"/>
  <c r="AA26" i="2"/>
  <c r="AB26" i="2"/>
  <c r="AA24" i="2"/>
  <c r="AA23" i="2"/>
  <c r="AA22" i="2"/>
  <c r="AA21" i="2"/>
  <c r="AB24" i="2"/>
  <c r="AB23" i="2"/>
  <c r="AB22" i="2"/>
  <c r="AB21" i="2"/>
  <c r="P30" i="2"/>
  <c r="P95" i="2"/>
  <c r="O29" i="2"/>
  <c r="P29" i="2"/>
  <c r="O28" i="2"/>
  <c r="P28" i="2"/>
  <c r="AG52" i="1"/>
  <c r="AG51" i="1"/>
  <c r="AG50" i="1"/>
  <c r="AG49" i="1"/>
  <c r="AG136" i="1"/>
  <c r="AG135" i="1"/>
  <c r="AG134" i="1"/>
  <c r="AG133" i="1"/>
  <c r="AG132" i="1"/>
  <c r="AG131" i="1"/>
  <c r="AG130" i="1"/>
  <c r="AG129" i="1"/>
  <c r="AG128" i="1"/>
  <c r="AG127" i="1"/>
  <c r="AG126" i="1"/>
  <c r="AG125" i="1"/>
  <c r="W61" i="2"/>
  <c r="X61" i="2"/>
  <c r="W60" i="2"/>
  <c r="X60" i="2"/>
  <c r="W59" i="2"/>
  <c r="X59" i="2"/>
  <c r="W58" i="2"/>
  <c r="X58" i="2"/>
  <c r="W39" i="2"/>
  <c r="X39" i="2"/>
  <c r="W38" i="2"/>
  <c r="X38" i="2"/>
  <c r="W25" i="2"/>
  <c r="AM13" i="2"/>
  <c r="AI13" i="2"/>
  <c r="AE13" i="2"/>
  <c r="AA13" i="2"/>
  <c r="W13" i="2"/>
  <c r="AN13" i="2"/>
  <c r="AJ13" i="2"/>
  <c r="AF13" i="2"/>
  <c r="AB13" i="2"/>
  <c r="X13" i="2"/>
  <c r="AM12" i="2"/>
  <c r="AI12" i="2"/>
  <c r="AE12" i="2"/>
  <c r="AA12" i="2"/>
  <c r="W12" i="2"/>
  <c r="AN12" i="2"/>
  <c r="AJ12" i="2"/>
  <c r="AF12" i="2"/>
  <c r="AB12" i="2"/>
  <c r="X12" i="2"/>
  <c r="AM11" i="2"/>
  <c r="AI11" i="2"/>
  <c r="AE11" i="2"/>
  <c r="AA11" i="2"/>
  <c r="W11" i="2"/>
  <c r="AN11" i="2"/>
  <c r="AJ11" i="2"/>
  <c r="AF11" i="2"/>
  <c r="AB11" i="2"/>
  <c r="X11" i="2"/>
  <c r="AM10" i="2"/>
  <c r="AI10" i="2"/>
  <c r="AE10" i="2"/>
  <c r="AA10" i="2"/>
  <c r="W10" i="2"/>
  <c r="AN10" i="2"/>
  <c r="AJ10" i="2"/>
  <c r="AF10" i="2"/>
  <c r="AB10" i="2"/>
  <c r="X10" i="2"/>
  <c r="AN9" i="2"/>
  <c r="AJ9" i="2"/>
  <c r="AF9" i="2"/>
  <c r="AB9" i="2"/>
  <c r="X9" i="2"/>
  <c r="AM9" i="2"/>
  <c r="AI9" i="2"/>
  <c r="AE9" i="2"/>
  <c r="AA9" i="2"/>
  <c r="W9" i="2"/>
  <c r="AN8" i="2"/>
  <c r="AJ8" i="2"/>
  <c r="AF8" i="2"/>
  <c r="AB8" i="2"/>
  <c r="X8" i="2"/>
  <c r="AM8" i="2"/>
  <c r="AI8" i="2"/>
  <c r="AE8" i="2"/>
  <c r="AA8" i="2"/>
  <c r="W8" i="2"/>
  <c r="AN7" i="2"/>
  <c r="AJ7" i="2"/>
  <c r="AF7" i="2"/>
  <c r="AB7" i="2"/>
  <c r="X7" i="2"/>
  <c r="AM7" i="2"/>
  <c r="AI7" i="2"/>
  <c r="AE7" i="2"/>
  <c r="AA7" i="2"/>
  <c r="W7" i="2"/>
  <c r="AN6" i="2"/>
  <c r="AJ6" i="2"/>
  <c r="AF6" i="2"/>
  <c r="AB6" i="2"/>
  <c r="X6" i="2"/>
  <c r="AM6" i="2"/>
  <c r="AI6" i="2"/>
  <c r="AE6" i="2"/>
  <c r="AA6" i="2"/>
  <c r="W6" i="2"/>
  <c r="AN5" i="2"/>
  <c r="AJ5" i="2"/>
  <c r="AF5" i="2"/>
  <c r="AB5" i="2"/>
  <c r="X5" i="2"/>
  <c r="AM5" i="2"/>
  <c r="AI5" i="2"/>
  <c r="AE5" i="2"/>
  <c r="AA5" i="2"/>
  <c r="W5" i="2"/>
  <c r="AN4" i="2"/>
  <c r="AJ4" i="2"/>
  <c r="AF4" i="2"/>
  <c r="AB4" i="2"/>
  <c r="X4" i="2"/>
  <c r="AM4" i="2"/>
  <c r="AI4" i="2"/>
  <c r="AE4" i="2"/>
  <c r="AA4" i="2"/>
  <c r="W4" i="2"/>
  <c r="S39" i="2"/>
  <c r="T39" i="2"/>
  <c r="S38" i="2"/>
  <c r="T38" i="2"/>
  <c r="S25" i="2"/>
  <c r="S32" i="2"/>
  <c r="T32" i="2"/>
  <c r="S31" i="2"/>
  <c r="T31" i="2"/>
  <c r="S30" i="2"/>
  <c r="T30" i="2"/>
  <c r="S27" i="2"/>
  <c r="T27" i="2"/>
  <c r="S26" i="2"/>
  <c r="T26" i="2"/>
  <c r="S24" i="2"/>
  <c r="S23" i="2"/>
  <c r="S22" i="2"/>
  <c r="S21" i="2"/>
  <c r="T24" i="2"/>
  <c r="T23" i="2"/>
  <c r="T22" i="2"/>
  <c r="T21" i="2"/>
  <c r="S13" i="2"/>
  <c r="T13" i="2"/>
  <c r="S12" i="2"/>
  <c r="T12" i="2"/>
  <c r="S11" i="2"/>
  <c r="T11" i="2"/>
  <c r="S10" i="2"/>
  <c r="T10" i="2"/>
  <c r="T9" i="2"/>
  <c r="S9" i="2"/>
  <c r="T8" i="2"/>
  <c r="S8" i="2"/>
  <c r="T7" i="2"/>
  <c r="S7" i="2"/>
  <c r="T6" i="2"/>
  <c r="S6" i="2"/>
  <c r="T5" i="2"/>
  <c r="S5" i="2"/>
  <c r="T4" i="2"/>
  <c r="S4" i="2"/>
  <c r="S61" i="2"/>
  <c r="T61" i="2"/>
  <c r="S60" i="2"/>
  <c r="T60" i="2"/>
  <c r="S59" i="2"/>
  <c r="T59" i="2"/>
  <c r="S58" i="2"/>
  <c r="T58" i="2"/>
  <c r="O61" i="2"/>
  <c r="P61" i="2"/>
  <c r="O60" i="2"/>
  <c r="P60" i="2"/>
  <c r="O59" i="2"/>
  <c r="P59" i="2"/>
  <c r="O58" i="2"/>
  <c r="P58" i="2"/>
  <c r="AJ202" i="1"/>
  <c r="AJ201" i="1"/>
  <c r="BF201" i="1" s="1"/>
  <c r="AJ190" i="1"/>
  <c r="AJ189" i="1"/>
  <c r="AJ188" i="1"/>
  <c r="AJ187" i="1"/>
  <c r="AJ186" i="1"/>
  <c r="AJ185" i="1"/>
  <c r="AJ184" i="1"/>
  <c r="AJ183" i="1"/>
  <c r="AJ182" i="1"/>
  <c r="AJ181" i="1"/>
  <c r="AJ180" i="1"/>
  <c r="AJ179" i="1"/>
  <c r="BE178" i="1"/>
  <c r="AI178" i="1"/>
  <c r="AJ178" i="1" s="1"/>
  <c r="BE177" i="1"/>
  <c r="AI177" i="1"/>
  <c r="AJ177" i="1"/>
  <c r="BE176" i="1"/>
  <c r="AI176" i="1"/>
  <c r="AJ176" i="1" s="1"/>
  <c r="BE175" i="1"/>
  <c r="AI175" i="1"/>
  <c r="AJ175" i="1" s="1"/>
  <c r="BE174" i="1"/>
  <c r="AI174" i="1"/>
  <c r="AJ174" i="1"/>
  <c r="BE173" i="1"/>
  <c r="AI173" i="1"/>
  <c r="AJ173" i="1"/>
  <c r="BE172" i="1"/>
  <c r="AI172" i="1"/>
  <c r="AJ172" i="1" s="1"/>
  <c r="BE171" i="1"/>
  <c r="AI171" i="1"/>
  <c r="AJ171" i="1" s="1"/>
  <c r="BE170" i="1"/>
  <c r="AI170" i="1"/>
  <c r="AJ170" i="1" s="1"/>
  <c r="BE169" i="1"/>
  <c r="AI169" i="1"/>
  <c r="AJ169" i="1"/>
  <c r="BE168" i="1"/>
  <c r="AI168" i="1"/>
  <c r="AJ168" i="1" s="1"/>
  <c r="BE167" i="1"/>
  <c r="AI167" i="1"/>
  <c r="AJ167" i="1" s="1"/>
  <c r="BE166" i="1"/>
  <c r="AI166" i="1"/>
  <c r="AJ166" i="1" s="1"/>
  <c r="BE165" i="1"/>
  <c r="AI165" i="1"/>
  <c r="AJ165" i="1"/>
  <c r="BE164" i="1"/>
  <c r="AI164" i="1"/>
  <c r="AJ164" i="1" s="1"/>
  <c r="BE163" i="1"/>
  <c r="AI163" i="1"/>
  <c r="AJ163" i="1" s="1"/>
  <c r="BE162" i="1"/>
  <c r="AI162" i="1"/>
  <c r="AJ162" i="1" s="1"/>
  <c r="BE161" i="1"/>
  <c r="AI161" i="1"/>
  <c r="AJ161" i="1"/>
  <c r="BE160" i="1"/>
  <c r="AI160" i="1"/>
  <c r="AJ160" i="1" s="1"/>
  <c r="BE159" i="1"/>
  <c r="AI159" i="1"/>
  <c r="AJ159" i="1" s="1"/>
  <c r="BE158" i="1"/>
  <c r="AI158" i="1"/>
  <c r="AJ158" i="1" s="1"/>
  <c r="BE157" i="1"/>
  <c r="AI157" i="1"/>
  <c r="AJ157" i="1"/>
  <c r="BE156" i="1"/>
  <c r="AI156" i="1"/>
  <c r="AJ156" i="1" s="1"/>
  <c r="BE155" i="1"/>
  <c r="AI155" i="1"/>
  <c r="AJ155" i="1" s="1"/>
  <c r="BE154" i="1"/>
  <c r="AI154" i="1"/>
  <c r="AJ154" i="1" s="1"/>
  <c r="BE153" i="1"/>
  <c r="AI153" i="1"/>
  <c r="AJ153" i="1"/>
  <c r="BE152" i="1"/>
  <c r="AI152" i="1"/>
  <c r="AJ152" i="1" s="1"/>
  <c r="BE151" i="1"/>
  <c r="AI151" i="1"/>
  <c r="AJ151" i="1" s="1"/>
  <c r="BE150" i="1"/>
  <c r="AI150" i="1"/>
  <c r="AJ150" i="1" s="1"/>
  <c r="BE149" i="1"/>
  <c r="AI149" i="1"/>
  <c r="AJ149" i="1"/>
  <c r="BE148" i="1"/>
  <c r="AI148" i="1"/>
  <c r="AJ148" i="1" s="1"/>
  <c r="BE147" i="1"/>
  <c r="AI147" i="1"/>
  <c r="AJ147" i="1" s="1"/>
  <c r="BE146" i="1"/>
  <c r="AI146" i="1"/>
  <c r="AJ146" i="1" s="1"/>
  <c r="BE145" i="1"/>
  <c r="AI145" i="1"/>
  <c r="AJ145" i="1"/>
  <c r="BE144" i="1"/>
  <c r="AI144" i="1"/>
  <c r="AJ144" i="1" s="1"/>
  <c r="BE143" i="1"/>
  <c r="AI143" i="1"/>
  <c r="AJ143" i="1" s="1"/>
  <c r="BE142" i="1"/>
  <c r="AI142" i="1"/>
  <c r="AJ142" i="1" s="1"/>
  <c r="BE141" i="1"/>
  <c r="AI141" i="1"/>
  <c r="AJ141" i="1"/>
  <c r="BE140" i="1"/>
  <c r="AI140" i="1"/>
  <c r="AJ140" i="1" s="1"/>
  <c r="BE139" i="1"/>
  <c r="AI139" i="1"/>
  <c r="AJ139" i="1" s="1"/>
  <c r="AJ136" i="1"/>
  <c r="BF135" i="1"/>
  <c r="AJ135" i="1"/>
  <c r="AJ134" i="1"/>
  <c r="BF133" i="1"/>
  <c r="AJ133" i="1"/>
  <c r="AJ132" i="1"/>
  <c r="BF131" i="1"/>
  <c r="AJ131" i="1"/>
  <c r="BJ130" i="1"/>
  <c r="AJ130" i="1"/>
  <c r="BJ129" i="1"/>
  <c r="BF129" i="1"/>
  <c r="AJ129" i="1"/>
  <c r="BJ128" i="1"/>
  <c r="AJ128" i="1"/>
  <c r="BJ127" i="1"/>
  <c r="BF127" i="1"/>
  <c r="BJ126" i="1" s="1"/>
  <c r="AJ127" i="1"/>
  <c r="AJ126" i="1"/>
  <c r="BF125" i="1"/>
  <c r="BJ125" i="1" s="1"/>
  <c r="AJ125" i="1"/>
  <c r="BE124" i="1"/>
  <c r="AN124" i="1"/>
  <c r="AL124" i="1"/>
  <c r="AI124" i="1"/>
  <c r="AJ124" i="1" s="1"/>
  <c r="AG124" i="1"/>
  <c r="AI123" i="1"/>
  <c r="BF123" i="1" s="1"/>
  <c r="BJ120" i="1" s="1"/>
  <c r="BE123" i="1"/>
  <c r="AN123" i="1"/>
  <c r="AL123" i="1"/>
  <c r="AG123" i="1"/>
  <c r="BE122" i="1"/>
  <c r="AN122" i="1"/>
  <c r="AL122" i="1"/>
  <c r="AI122" i="1"/>
  <c r="AJ122" i="1"/>
  <c r="AG122" i="1"/>
  <c r="AI121" i="1"/>
  <c r="BF121" i="1" s="1"/>
  <c r="BJ119" i="1" s="1"/>
  <c r="BE121" i="1"/>
  <c r="AN121" i="1"/>
  <c r="AL121" i="1"/>
  <c r="AJ121" i="1"/>
  <c r="AG121" i="1"/>
  <c r="BE120" i="1"/>
  <c r="AN120" i="1"/>
  <c r="AL120" i="1"/>
  <c r="AI120" i="1"/>
  <c r="AJ120" i="1" s="1"/>
  <c r="AG120" i="1"/>
  <c r="AI119" i="1"/>
  <c r="BF119" i="1" s="1"/>
  <c r="BJ118" i="1" s="1"/>
  <c r="BE119" i="1"/>
  <c r="AN119" i="1"/>
  <c r="AL119" i="1"/>
  <c r="AG119" i="1"/>
  <c r="BE118" i="1"/>
  <c r="AN118" i="1"/>
  <c r="AL118" i="1"/>
  <c r="AI118" i="1"/>
  <c r="AJ118" i="1" s="1"/>
  <c r="AG118" i="1"/>
  <c r="AI117" i="1"/>
  <c r="BF117" i="1"/>
  <c r="BJ117" i="1" s="1"/>
  <c r="BE117" i="1"/>
  <c r="AN117" i="1"/>
  <c r="AL117" i="1"/>
  <c r="AJ117" i="1"/>
  <c r="AG117" i="1"/>
  <c r="AG116" i="1"/>
  <c r="AG115" i="1"/>
  <c r="AG114" i="1"/>
  <c r="AG113" i="1"/>
  <c r="AG112" i="1"/>
  <c r="AG111" i="1"/>
  <c r="AG109" i="1"/>
  <c r="AG108" i="1"/>
  <c r="AG107" i="1"/>
  <c r="AG106" i="1"/>
  <c r="AG105" i="1"/>
  <c r="AG104" i="1"/>
  <c r="AG103" i="1"/>
  <c r="AG102" i="1"/>
  <c r="AG101" i="1"/>
  <c r="AG100" i="1"/>
  <c r="AG99" i="1"/>
  <c r="AG97" i="1"/>
  <c r="AG95" i="1"/>
  <c r="AG93" i="1"/>
  <c r="AG91" i="1"/>
  <c r="AG90" i="1"/>
  <c r="AG89" i="1"/>
  <c r="AG87" i="1"/>
  <c r="AG85" i="1"/>
  <c r="AG84" i="1"/>
  <c r="AG83" i="1"/>
  <c r="AG82" i="1"/>
  <c r="AG81" i="1"/>
  <c r="BE80" i="1"/>
  <c r="AP80" i="1"/>
  <c r="AN80" i="1"/>
  <c r="AL80" i="1"/>
  <c r="AI80" i="1"/>
  <c r="AJ80" i="1" s="1"/>
  <c r="BM79" i="1"/>
  <c r="AI79" i="1"/>
  <c r="BF79" i="1"/>
  <c r="BJ78" i="1" s="1"/>
  <c r="BE79" i="1"/>
  <c r="AP79" i="1"/>
  <c r="AN79" i="1"/>
  <c r="AL79" i="1"/>
  <c r="AJ79" i="1"/>
  <c r="BE78" i="1"/>
  <c r="AN78" i="1"/>
  <c r="AL78" i="1"/>
  <c r="AI78" i="1"/>
  <c r="AJ78" i="1"/>
  <c r="BM77" i="1"/>
  <c r="AI77" i="1"/>
  <c r="BF77" i="1" s="1"/>
  <c r="BJ77" i="1" s="1"/>
  <c r="BE77" i="1"/>
  <c r="AN77" i="1"/>
  <c r="AL77" i="1"/>
  <c r="BE76" i="1"/>
  <c r="AN76" i="1"/>
  <c r="AL76" i="1"/>
  <c r="AI76" i="1"/>
  <c r="AJ76" i="1"/>
  <c r="AG76" i="1"/>
  <c r="AI75" i="1"/>
  <c r="BF75" i="1" s="1"/>
  <c r="BJ72" i="1" s="1"/>
  <c r="BE75" i="1"/>
  <c r="AN75" i="1"/>
  <c r="AL75" i="1"/>
  <c r="AJ75" i="1"/>
  <c r="AG75" i="1"/>
  <c r="BE74" i="1"/>
  <c r="AN74" i="1"/>
  <c r="AL74" i="1"/>
  <c r="AI74" i="1"/>
  <c r="AJ74" i="1" s="1"/>
  <c r="AI73" i="1"/>
  <c r="BF73" i="1" s="1"/>
  <c r="BJ71" i="1" s="1"/>
  <c r="BE73" i="1"/>
  <c r="AN73" i="1"/>
  <c r="AL73" i="1"/>
  <c r="AJ73" i="1"/>
  <c r="BE72" i="1"/>
  <c r="AN72" i="1"/>
  <c r="AL72" i="1"/>
  <c r="AI72" i="1"/>
  <c r="AJ72" i="1" s="1"/>
  <c r="AI71" i="1"/>
  <c r="BF71" i="1"/>
  <c r="BJ70" i="1" s="1"/>
  <c r="BE71" i="1"/>
  <c r="AN71" i="1"/>
  <c r="AL71" i="1"/>
  <c r="AJ71" i="1"/>
  <c r="BE70" i="1"/>
  <c r="AN70" i="1"/>
  <c r="AL70" i="1"/>
  <c r="AI70" i="1"/>
  <c r="AJ70" i="1" s="1"/>
  <c r="AI69" i="1"/>
  <c r="BF69" i="1"/>
  <c r="BJ69" i="1" s="1"/>
  <c r="BE69" i="1"/>
  <c r="AN69" i="1"/>
  <c r="AL69" i="1"/>
  <c r="AJ69" i="1"/>
  <c r="BM67" i="1"/>
  <c r="BM65" i="1"/>
  <c r="BM63" i="1"/>
  <c r="AL58" i="1"/>
  <c r="AL57" i="1"/>
  <c r="AG57" i="1"/>
  <c r="AL56" i="1"/>
  <c r="AL55" i="1"/>
  <c r="AG55" i="1"/>
  <c r="AL54" i="1"/>
  <c r="AL53" i="1"/>
  <c r="AG53" i="1"/>
  <c r="BE48" i="1"/>
  <c r="AT48" i="1"/>
  <c r="AP48" i="1"/>
  <c r="AL48" i="1"/>
  <c r="AI48" i="1"/>
  <c r="AJ48" i="1" s="1"/>
  <c r="AG48" i="1"/>
  <c r="AI47" i="1"/>
  <c r="BF47" i="1" s="1"/>
  <c r="BJ46" i="1" s="1"/>
  <c r="BE47" i="1"/>
  <c r="AT47" i="1"/>
  <c r="AP47" i="1"/>
  <c r="AL47" i="1"/>
  <c r="AG47" i="1"/>
  <c r="BE46" i="1"/>
  <c r="AT46" i="1"/>
  <c r="AP46" i="1"/>
  <c r="AL46" i="1"/>
  <c r="AI46" i="1"/>
  <c r="AJ46" i="1" s="1"/>
  <c r="AG46" i="1"/>
  <c r="AI45" i="1"/>
  <c r="BF45" i="1" s="1"/>
  <c r="BJ45" i="1" s="1"/>
  <c r="BE45" i="1"/>
  <c r="AT45" i="1"/>
  <c r="AP45" i="1"/>
  <c r="AL45" i="1"/>
  <c r="AJ45" i="1"/>
  <c r="AG45" i="1"/>
  <c r="BE44" i="1"/>
  <c r="BB44" i="1"/>
  <c r="BD44" i="1"/>
  <c r="BC44" i="1"/>
  <c r="AI44" i="1"/>
  <c r="AJ44" i="1"/>
  <c r="BE43" i="1"/>
  <c r="BB43" i="1"/>
  <c r="BD43" i="1" s="1"/>
  <c r="BC43" i="1"/>
  <c r="AV43" i="1"/>
  <c r="AT43" i="1"/>
  <c r="AR43" i="1"/>
  <c r="AP43" i="1"/>
  <c r="AN43" i="1"/>
  <c r="AL43" i="1"/>
  <c r="AI43" i="1"/>
  <c r="AJ43" i="1"/>
  <c r="AP42" i="1"/>
  <c r="AL42" i="1"/>
  <c r="AG42" i="1"/>
  <c r="AP41" i="1"/>
  <c r="AL41" i="1"/>
  <c r="AG41" i="1"/>
  <c r="AP40" i="1"/>
  <c r="AL40" i="1"/>
  <c r="AG40" i="1"/>
  <c r="AP39" i="1"/>
  <c r="AL39" i="1"/>
  <c r="AG39" i="1"/>
  <c r="AP38" i="1"/>
  <c r="AL38" i="1"/>
  <c r="AG38" i="1"/>
  <c r="AP37" i="1"/>
  <c r="AL37" i="1"/>
  <c r="AG37" i="1"/>
  <c r="AP36" i="1"/>
  <c r="AL36" i="1"/>
  <c r="AG36" i="1"/>
  <c r="AP35" i="1"/>
  <c r="AL35" i="1"/>
  <c r="AG35" i="1"/>
  <c r="AJ34" i="1"/>
  <c r="BF33" i="1"/>
  <c r="BJ33" i="1" s="1"/>
  <c r="AJ33" i="1"/>
  <c r="BE26" i="1"/>
  <c r="AV26" i="1"/>
  <c r="AT26" i="1"/>
  <c r="AR26" i="1"/>
  <c r="AP26" i="1"/>
  <c r="AN26" i="1"/>
  <c r="AL26" i="1"/>
  <c r="AI26" i="1"/>
  <c r="AJ26" i="1"/>
  <c r="AG26" i="1"/>
  <c r="BH25" i="1"/>
  <c r="BG25" i="1"/>
  <c r="AI25" i="1"/>
  <c r="BF25" i="1"/>
  <c r="BE25" i="1"/>
  <c r="AV25" i="1"/>
  <c r="AT25" i="1"/>
  <c r="AR25" i="1"/>
  <c r="AP25" i="1"/>
  <c r="AN25" i="1"/>
  <c r="AL25" i="1"/>
  <c r="AJ25" i="1"/>
  <c r="AG25" i="1"/>
  <c r="BE24" i="1"/>
  <c r="AV24" i="1"/>
  <c r="AT24" i="1"/>
  <c r="AR24" i="1"/>
  <c r="AP24" i="1"/>
  <c r="AN24" i="1"/>
  <c r="AL24" i="1"/>
  <c r="AI24" i="1"/>
  <c r="AJ24" i="1"/>
  <c r="AG24" i="1"/>
  <c r="BH23" i="1"/>
  <c r="BL21" i="1" s="1"/>
  <c r="BG23" i="1"/>
  <c r="AI23" i="1"/>
  <c r="BF23" i="1"/>
  <c r="BE23" i="1"/>
  <c r="AV23" i="1"/>
  <c r="AT23" i="1"/>
  <c r="AR23" i="1"/>
  <c r="AP23" i="1"/>
  <c r="AN23" i="1"/>
  <c r="AL23" i="1"/>
  <c r="AJ23" i="1"/>
  <c r="AG23" i="1"/>
  <c r="BL22" i="1"/>
  <c r="BK22" i="1"/>
  <c r="BJ22" i="1"/>
  <c r="BE22" i="1"/>
  <c r="AV22" i="1"/>
  <c r="AT22" i="1"/>
  <c r="AR22" i="1"/>
  <c r="AP22" i="1"/>
  <c r="AN22" i="1"/>
  <c r="AL22" i="1"/>
  <c r="AI22" i="1"/>
  <c r="AJ22" i="1" s="1"/>
  <c r="AG22" i="1"/>
  <c r="BK21" i="1"/>
  <c r="BJ21" i="1"/>
  <c r="BH21" i="1"/>
  <c r="BG21" i="1"/>
  <c r="AI21" i="1"/>
  <c r="BF21" i="1"/>
  <c r="BE21" i="1"/>
  <c r="AV21" i="1"/>
  <c r="AT21" i="1"/>
  <c r="AR21" i="1"/>
  <c r="AP21" i="1"/>
  <c r="AN21" i="1"/>
  <c r="AL21" i="1"/>
  <c r="AJ21" i="1"/>
  <c r="AG21" i="1"/>
  <c r="BL20" i="1"/>
  <c r="BK20" i="1"/>
  <c r="BJ20" i="1"/>
  <c r="BE20" i="1"/>
  <c r="AV20" i="1"/>
  <c r="AT20" i="1"/>
  <c r="AR20" i="1"/>
  <c r="AP20" i="1"/>
  <c r="AN20" i="1"/>
  <c r="AL20" i="1"/>
  <c r="AI20" i="1"/>
  <c r="AJ20" i="1" s="1"/>
  <c r="AG20" i="1"/>
  <c r="BH19" i="1"/>
  <c r="BL19" i="1"/>
  <c r="BG19" i="1"/>
  <c r="BK19" i="1" s="1"/>
  <c r="AI19" i="1"/>
  <c r="AJ19" i="1" s="1"/>
  <c r="BF19" i="1"/>
  <c r="BJ19" i="1" s="1"/>
  <c r="BE19" i="1"/>
  <c r="AV19" i="1"/>
  <c r="AT19" i="1"/>
  <c r="AR19" i="1"/>
  <c r="AP19" i="1"/>
  <c r="AN19" i="1"/>
  <c r="AL19" i="1"/>
  <c r="AG19" i="1"/>
  <c r="BH18" i="1"/>
  <c r="BG18" i="1"/>
  <c r="AI18" i="1"/>
  <c r="AI17" i="1"/>
  <c r="BF18" i="1"/>
  <c r="BJ13" i="1" s="1"/>
  <c r="BE18" i="1"/>
  <c r="AV18" i="1"/>
  <c r="AT18" i="1"/>
  <c r="AR18" i="1"/>
  <c r="AP18" i="1"/>
  <c r="AN18" i="1"/>
  <c r="AL18" i="1"/>
  <c r="AJ18" i="1"/>
  <c r="AG18" i="1"/>
  <c r="BE17" i="1"/>
  <c r="AV17" i="1"/>
  <c r="AT17" i="1"/>
  <c r="AR17" i="1"/>
  <c r="AP17" i="1"/>
  <c r="AN17" i="1"/>
  <c r="AL17" i="1"/>
  <c r="AJ17" i="1"/>
  <c r="AG17" i="1"/>
  <c r="BH16" i="1"/>
  <c r="BG16" i="1"/>
  <c r="AI16" i="1"/>
  <c r="BF16" i="1" s="1"/>
  <c r="BJ12" i="1" s="1"/>
  <c r="AI15" i="1"/>
  <c r="BE16" i="1"/>
  <c r="AV16" i="1"/>
  <c r="AT16" i="1"/>
  <c r="AR16" i="1"/>
  <c r="AP16" i="1"/>
  <c r="AN16" i="1"/>
  <c r="AL16" i="1"/>
  <c r="AG16" i="1"/>
  <c r="BE15" i="1"/>
  <c r="AV15" i="1"/>
  <c r="AT15" i="1"/>
  <c r="AR15" i="1"/>
  <c r="AP15" i="1"/>
  <c r="AN15" i="1"/>
  <c r="AL15" i="1"/>
  <c r="AJ15" i="1"/>
  <c r="AG15" i="1"/>
  <c r="BH14" i="1"/>
  <c r="BG14" i="1"/>
  <c r="AI14" i="1"/>
  <c r="BF14" i="1" s="1"/>
  <c r="BJ11" i="1" s="1"/>
  <c r="AI13" i="1"/>
  <c r="AJ13" i="1" s="1"/>
  <c r="BE14" i="1"/>
  <c r="AV14" i="1"/>
  <c r="AT14" i="1"/>
  <c r="AR14" i="1"/>
  <c r="AP14" i="1"/>
  <c r="AN14" i="1"/>
  <c r="AL14" i="1"/>
  <c r="AG14" i="1"/>
  <c r="BL13" i="1"/>
  <c r="BK13" i="1"/>
  <c r="BE13" i="1"/>
  <c r="AV13" i="1"/>
  <c r="AT13" i="1"/>
  <c r="AR13" i="1"/>
  <c r="AP13" i="1"/>
  <c r="AN13" i="1"/>
  <c r="AL13" i="1"/>
  <c r="AG13" i="1"/>
  <c r="BL12" i="1"/>
  <c r="BK12" i="1"/>
  <c r="BH12" i="1"/>
  <c r="BG12" i="1"/>
  <c r="BK10" i="1" s="1"/>
  <c r="AI12" i="1"/>
  <c r="BF12" i="1" s="1"/>
  <c r="BJ10" i="1" s="1"/>
  <c r="AI11" i="1"/>
  <c r="BE12" i="1"/>
  <c r="AV12" i="1"/>
  <c r="AT12" i="1"/>
  <c r="AR12" i="1"/>
  <c r="AP12" i="1"/>
  <c r="AN12" i="1"/>
  <c r="AL12" i="1"/>
  <c r="AG12" i="1"/>
  <c r="BL11" i="1"/>
  <c r="BK11" i="1"/>
  <c r="BE11" i="1"/>
  <c r="AV11" i="1"/>
  <c r="AT11" i="1"/>
  <c r="AR11" i="1"/>
  <c r="AP11" i="1"/>
  <c r="AN11" i="1"/>
  <c r="AL11" i="1"/>
  <c r="AJ11" i="1"/>
  <c r="AG11" i="1"/>
  <c r="BL10" i="1"/>
  <c r="BH10" i="1"/>
  <c r="BL9" i="1" s="1"/>
  <c r="BG10" i="1"/>
  <c r="BK9" i="1" s="1"/>
  <c r="AI10" i="1"/>
  <c r="AI9" i="1"/>
  <c r="BF10" i="1"/>
  <c r="BE10" i="1"/>
  <c r="AV10" i="1"/>
  <c r="AT10" i="1"/>
  <c r="AR10" i="1"/>
  <c r="AP10" i="1"/>
  <c r="AN10" i="1"/>
  <c r="AL10" i="1"/>
  <c r="AJ10" i="1"/>
  <c r="AG10" i="1"/>
  <c r="BJ9" i="1"/>
  <c r="BE9" i="1"/>
  <c r="AV9" i="1"/>
  <c r="AT9" i="1"/>
  <c r="AR9" i="1"/>
  <c r="AP9" i="1"/>
  <c r="AN9" i="1"/>
  <c r="AL9" i="1"/>
  <c r="AJ9" i="1"/>
  <c r="AG9" i="1"/>
  <c r="BH8" i="1"/>
  <c r="BL8" i="1"/>
  <c r="BG8" i="1"/>
  <c r="BK8" i="1"/>
  <c r="AI8" i="1"/>
  <c r="AI7" i="1"/>
  <c r="BF8" i="1"/>
  <c r="BJ8" i="1"/>
  <c r="BE8" i="1"/>
  <c r="AV8" i="1"/>
  <c r="AT8" i="1"/>
  <c r="AR8" i="1"/>
  <c r="AP8" i="1"/>
  <c r="AN8" i="1"/>
  <c r="AL8" i="1"/>
  <c r="AJ8" i="1"/>
  <c r="AG8" i="1"/>
  <c r="BE7" i="1"/>
  <c r="AV7" i="1"/>
  <c r="AT7" i="1"/>
  <c r="AR7" i="1"/>
  <c r="AP7" i="1"/>
  <c r="AN7" i="1"/>
  <c r="AL7" i="1"/>
  <c r="AJ7" i="1"/>
  <c r="AG7" i="1"/>
  <c r="AG6" i="1"/>
  <c r="BM5" i="1"/>
  <c r="AG5" i="1"/>
  <c r="AG4" i="1"/>
  <c r="AG3" i="1"/>
  <c r="AJ12" i="1" l="1"/>
  <c r="AJ16" i="1"/>
  <c r="AJ47" i="1"/>
  <c r="AJ77" i="1"/>
  <c r="AJ14" i="1"/>
  <c r="AJ119" i="1"/>
  <c r="AJ123" i="1"/>
</calcChain>
</file>

<file path=xl/sharedStrings.xml><?xml version="1.0" encoding="utf-8"?>
<sst xmlns="http://schemas.openxmlformats.org/spreadsheetml/2006/main" count="36934" uniqueCount="374">
  <si>
    <t>Paper</t>
  </si>
  <si>
    <t>Rhizoctonia species</t>
  </si>
  <si>
    <t>Light levels</t>
  </si>
  <si>
    <t>Nurse plant species</t>
  </si>
  <si>
    <t>SOIL</t>
  </si>
  <si>
    <t>Soil P addition</t>
  </si>
  <si>
    <t>Soil Zn addition</t>
  </si>
  <si>
    <t>Soil N addition (μg/g) as (NH4)2SO4)</t>
  </si>
  <si>
    <t>Location</t>
  </si>
  <si>
    <t>pH</t>
  </si>
  <si>
    <t>C (%)</t>
  </si>
  <si>
    <t>Soil P</t>
  </si>
  <si>
    <t>P (μg/g)</t>
  </si>
  <si>
    <t>Method of p</t>
  </si>
  <si>
    <t>Method</t>
  </si>
  <si>
    <t>DTPA Zn (μg/g)</t>
  </si>
  <si>
    <t>Form</t>
  </si>
  <si>
    <t xml:space="preserve">Amount </t>
  </si>
  <si>
    <t>Units</t>
  </si>
  <si>
    <t>Available P</t>
  </si>
  <si>
    <t>DTPA Zn</t>
  </si>
  <si>
    <t>Total dry weight (kg)</t>
  </si>
  <si>
    <t>P content</t>
  </si>
  <si>
    <t>Zn content</t>
  </si>
  <si>
    <t>Shoot P content</t>
  </si>
  <si>
    <t>Root P content</t>
  </si>
  <si>
    <t>Shoot Zn content</t>
  </si>
  <si>
    <t>Root Zn content</t>
  </si>
  <si>
    <t>R:S P content</t>
  </si>
  <si>
    <t>R:S Zn content</t>
  </si>
  <si>
    <t>MGR</t>
  </si>
  <si>
    <t>MPR</t>
  </si>
  <si>
    <t>MZnR</t>
  </si>
  <si>
    <t>Myc col response</t>
  </si>
  <si>
    <r>
      <t xml:space="preserve">A mutant in </t>
    </r>
    <r>
      <rPr>
        <i/>
        <sz val="12"/>
        <color theme="1"/>
        <rFont val="Calibri"/>
        <scheme val="minor"/>
      </rPr>
      <t>Lycopersicon esculentum</t>
    </r>
    <r>
      <rPr>
        <sz val="12"/>
        <color theme="1"/>
        <rFont val="Calibri"/>
        <family val="2"/>
        <scheme val="minor"/>
      </rPr>
      <t xml:space="preserve"> Mill. with highly reduced VA mycorrhizal colonization- isolation and preliminary characterisation.</t>
    </r>
  </si>
  <si>
    <t>76R</t>
  </si>
  <si>
    <t>Pot</t>
  </si>
  <si>
    <t>G. mosseae</t>
  </si>
  <si>
    <t>rmc</t>
  </si>
  <si>
    <t>Gi. margarita</t>
  </si>
  <si>
    <t>Arbuscular mycorrhizas modify plant responses to soil zinc addition.</t>
  </si>
  <si>
    <t>Mallala region, South Australia</t>
  </si>
  <si>
    <t>Colwell</t>
  </si>
  <si>
    <t>CaHPO4</t>
  </si>
  <si>
    <t>mg/kg</t>
  </si>
  <si>
    <t>ZnSO4·7H2O</t>
  </si>
  <si>
    <t>Arbuscular mycorrhizas in southeastern Australian processing tomato farm soils.</t>
  </si>
  <si>
    <t>Wallenjoe State Game Reserve</t>
  </si>
  <si>
    <t>Tomato processing farm, Victoria</t>
  </si>
  <si>
    <t>Morphology of Arbuscular Mycorrhizas Is Influenced by Fungal Identity.</t>
  </si>
  <si>
    <t>G. intraradices</t>
  </si>
  <si>
    <t>Mallala region</t>
  </si>
  <si>
    <t>G. coronatum</t>
  </si>
  <si>
    <t>Kuitpo</t>
  </si>
  <si>
    <t>S. calospora</t>
  </si>
  <si>
    <t>G. versiforme</t>
  </si>
  <si>
    <t>Inoculum Type Does Not Affect Overall Resistance of an Arbuscular Mycorrhiza-Defective Tomato Mutant to Colonisation but Inoculation Does Change Competitive Interactions with Wild-Type Tomato.</t>
  </si>
  <si>
    <t>16 mg/kg</t>
  </si>
  <si>
    <t>g/kg</t>
  </si>
  <si>
    <t>Arbuscular Mycorrhizas, Microbial Communities, Nutrient Availability, and Soil Aggregates in Organic Tomato Production.</t>
  </si>
  <si>
    <t>Field</t>
  </si>
  <si>
    <t>Organic tomato processingn farm, California</t>
  </si>
  <si>
    <t>Olsen</t>
  </si>
  <si>
    <t>Ca(H2PO4)2</t>
  </si>
  <si>
    <t>μg/g</t>
  </si>
  <si>
    <t>Mycorrhizal effects on growth and nutrition of tomato under elevated atmospheric carbon dioxide.</t>
  </si>
  <si>
    <t>Growth, nutrition, and soil respiration of a mycorrhiza-defective tomato mutant and its mycorrhizal wild-type progenitor.</t>
  </si>
  <si>
    <t>Desert grassland near Flagstaff, Arizona</t>
  </si>
  <si>
    <t>K2HPO4</t>
  </si>
  <si>
    <t>ppm</t>
  </si>
  <si>
    <t>Underground friends or enemies- model plants help to unravel direct and indirect effects of arbuscular  mycorrhizal fungi on plant competition.</t>
  </si>
  <si>
    <t>G. intraradices DAOM181602</t>
  </si>
  <si>
    <t>red brown earth (Waite Arboretum)</t>
  </si>
  <si>
    <t>resin-extraction</t>
  </si>
  <si>
    <t>G. margarita WFVAM 21</t>
  </si>
  <si>
    <t>Mix</t>
  </si>
  <si>
    <t>Colonization patterns in a mycorrhiza-defective mutant tomato vary with different arbuscular-mycorrhizal fungi.</t>
  </si>
  <si>
    <t>The rmc locus does not affect plant interactions or defence-related gene expression when tomato (Solanum lycopersicum) is infected with the root fungal parasite, Rhizoctonia.</t>
  </si>
  <si>
    <t>Control</t>
  </si>
  <si>
    <t>AG4</t>
  </si>
  <si>
    <t>AG8</t>
  </si>
  <si>
    <t>BNR</t>
  </si>
  <si>
    <t>Cortical colonisation is not an absolute requirement for phosphorus transfer to plants in arbuscular mycorrhizas formed by Scutellospora calospora in a tomato mutant: evidence from physiology and gene expression.</t>
  </si>
  <si>
    <t>Scutellospora calospora</t>
  </si>
  <si>
    <t>Kuitpo, SA</t>
  </si>
  <si>
    <t>Is cortical root colonization required for carbon transfer to arbuscular mycorrhizal fungi? Evidence from colonization phenotypes and spore production in the reduced mycorrhizal colonization (rmc) mutant of tomato.</t>
  </si>
  <si>
    <t xml:space="preserve">Pot </t>
  </si>
  <si>
    <t>G. etunicatum</t>
  </si>
  <si>
    <t>G. intraradices WFVAM23</t>
  </si>
  <si>
    <t>Interactions between plant species and mycorrhizal colonization on the bacterial community composition in the rhizosphere.</t>
  </si>
  <si>
    <t>Low</t>
  </si>
  <si>
    <t>High</t>
  </si>
  <si>
    <t>Physiological and molecular evidence for Pi uptake via the symbiotic pathway in a reduced mycorrhizal colonization mutant in tomato associated with a compatible fungus.</t>
  </si>
  <si>
    <t>G. intraradices BEG 87</t>
  </si>
  <si>
    <t>G. versiforme BEG 47</t>
  </si>
  <si>
    <t>Impact of arbuscular mycorrhizal fungi on the allergenic potential of tomato.</t>
  </si>
  <si>
    <t>Arbuscular mycorrhizas are beneficial under both deficient</t>
  </si>
  <si>
    <t>P</t>
  </si>
  <si>
    <t>don't need * 100</t>
  </si>
  <si>
    <t>Arbuscular mycorrhizas modify tomato responses to soil zinc and phosphorus addition.</t>
  </si>
  <si>
    <t>Zn form expt.</t>
  </si>
  <si>
    <t>Zn oxide</t>
  </si>
  <si>
    <t>nano Zn oxide</t>
  </si>
  <si>
    <t>Zn phosphate</t>
  </si>
  <si>
    <t>Zn carbonate</t>
  </si>
  <si>
    <t>Zn phosphate carbonate</t>
  </si>
  <si>
    <t>G. intraradices BEG159</t>
  </si>
  <si>
    <t>Plant biomass response</t>
  </si>
  <si>
    <t>Plant nutrient response</t>
  </si>
  <si>
    <t>Soil characteristics</t>
  </si>
  <si>
    <t>Soil DTPA Zn</t>
  </si>
  <si>
    <t>n</t>
  </si>
  <si>
    <t>Study</t>
  </si>
  <si>
    <t>n_rmc</t>
  </si>
  <si>
    <t>n_wt</t>
  </si>
  <si>
    <t>meancol_rmc</t>
  </si>
  <si>
    <t>meancol_wt</t>
  </si>
  <si>
    <t>sdcol_rmc</t>
  </si>
  <si>
    <t>sdcol_wt</t>
  </si>
  <si>
    <t>Barker1998</t>
  </si>
  <si>
    <t>Cav2010</t>
  </si>
  <si>
    <t>Colonisation</t>
  </si>
  <si>
    <t>meansdw_rmc</t>
  </si>
  <si>
    <t>meansdw_wt</t>
  </si>
  <si>
    <t>sdsdw_rmc</t>
  </si>
  <si>
    <t>sdsdw_wt</t>
  </si>
  <si>
    <t>meanrdw_rmc</t>
  </si>
  <si>
    <t>meanrdw_wt</t>
  </si>
  <si>
    <t>sdrdw_rmc</t>
  </si>
  <si>
    <t>sdrdw_wt</t>
  </si>
  <si>
    <t>Cav2011</t>
  </si>
  <si>
    <t>Cav2001</t>
  </si>
  <si>
    <t>NA</t>
  </si>
  <si>
    <t>Cav2006</t>
  </si>
  <si>
    <t>Cav2007</t>
  </si>
  <si>
    <t>Cav2008</t>
  </si>
  <si>
    <t>pot</t>
  </si>
  <si>
    <t>field</t>
  </si>
  <si>
    <t>Cav2012</t>
  </si>
  <si>
    <t>Facelli2010</t>
  </si>
  <si>
    <t>Gao2001</t>
  </si>
  <si>
    <t>Manjarrez2010</t>
  </si>
  <si>
    <t>Manjarrez2008</t>
  </si>
  <si>
    <t>Marschner2005</t>
  </si>
  <si>
    <t>Poulsen2005</t>
  </si>
  <si>
    <t>Schwarz 2011</t>
  </si>
  <si>
    <t>WW2013a</t>
  </si>
  <si>
    <t>WW2012</t>
  </si>
  <si>
    <t>WW2013b</t>
  </si>
  <si>
    <t>Ruzicka2012</t>
  </si>
  <si>
    <t>Manjarrez2009</t>
  </si>
  <si>
    <t>Hallet2009</t>
  </si>
  <si>
    <t>Asghari2012</t>
  </si>
  <si>
    <t>Cav2004</t>
  </si>
  <si>
    <t>shootP_rmc</t>
  </si>
  <si>
    <t>shootP_wt</t>
  </si>
  <si>
    <t>sdshootP_rmc</t>
  </si>
  <si>
    <t>sdshootP_wt</t>
  </si>
  <si>
    <t>rootP_rmc</t>
  </si>
  <si>
    <t>rootP_wt</t>
  </si>
  <si>
    <t>sdrootP_rmc</t>
  </si>
  <si>
    <t>sdrootP_wt</t>
  </si>
  <si>
    <t>shootZn_rmc</t>
  </si>
  <si>
    <t>shootZn_wt</t>
  </si>
  <si>
    <t>sdshootZn_rmc</t>
  </si>
  <si>
    <t>sdshootZn_wt</t>
  </si>
  <si>
    <t>rootZn_rmc</t>
  </si>
  <si>
    <t>rootZn_wt</t>
  </si>
  <si>
    <t>sdrootZn_rmc</t>
  </si>
  <si>
    <t>sdrootZn_wt</t>
  </si>
  <si>
    <t>Trial</t>
  </si>
  <si>
    <t>Plant_age</t>
  </si>
  <si>
    <t>Field_pot</t>
  </si>
  <si>
    <t>Geno</t>
  </si>
  <si>
    <t>AMF_spp</t>
  </si>
  <si>
    <t>Col</t>
  </si>
  <si>
    <t>Col_sd</t>
  </si>
  <si>
    <t>TDW_g</t>
  </si>
  <si>
    <t>SDW_g</t>
  </si>
  <si>
    <t>SDW_sd</t>
  </si>
  <si>
    <t>RDW_g</t>
  </si>
  <si>
    <t>RDW_sd</t>
  </si>
  <si>
    <t>ShootP_mgkg</t>
  </si>
  <si>
    <t>ShootP_sd</t>
  </si>
  <si>
    <t>RootP_mgkg</t>
  </si>
  <si>
    <t>RootP_sd</t>
  </si>
  <si>
    <t>ShootZn_mgkg</t>
  </si>
  <si>
    <t>ShootZn_sd</t>
  </si>
  <si>
    <t>RootZn_mgkg</t>
  </si>
  <si>
    <t>RootZn_sd</t>
  </si>
  <si>
    <t>R2S</t>
  </si>
  <si>
    <t>ShootK_mgkg</t>
  </si>
  <si>
    <t>RootK_mgkg</t>
  </si>
  <si>
    <t>ShootCa_mgkg</t>
  </si>
  <si>
    <t>RootCa_mgkg</t>
  </si>
  <si>
    <t>ShootCu_mgkg</t>
  </si>
  <si>
    <t>RootCu_mgkg</t>
  </si>
  <si>
    <t>ShootMn_mgkg</t>
  </si>
  <si>
    <t>RootMn_mgkg</t>
  </si>
  <si>
    <t>ShootMg_mgkg</t>
  </si>
  <si>
    <t>RootMg_mgkg</t>
  </si>
  <si>
    <t>Barker_1998</t>
  </si>
  <si>
    <t>Cav_2010</t>
  </si>
  <si>
    <t>Cav_2011</t>
  </si>
  <si>
    <t>Cav_2001</t>
  </si>
  <si>
    <t>Cav_2004</t>
  </si>
  <si>
    <t>Cav_2006</t>
  </si>
  <si>
    <t>Cav_2007</t>
  </si>
  <si>
    <t>Cav_2008</t>
  </si>
  <si>
    <t>Cav_2012</t>
  </si>
  <si>
    <t>Facelli_2010</t>
  </si>
  <si>
    <t>Gao_2001</t>
  </si>
  <si>
    <t>Gao_2006</t>
  </si>
  <si>
    <t>Manjarrez_2010</t>
  </si>
  <si>
    <t>Manjarrez_2008</t>
  </si>
  <si>
    <t>Manjarrez_2009</t>
  </si>
  <si>
    <t>Marschner_2005</t>
  </si>
  <si>
    <t>Poulsen_2005</t>
  </si>
  <si>
    <t>Schwarz_2011</t>
  </si>
  <si>
    <t>WW_2013a</t>
  </si>
  <si>
    <t>WW_2012</t>
  </si>
  <si>
    <t>WW_2013b</t>
  </si>
  <si>
    <t>Ruzicka_2012</t>
  </si>
  <si>
    <t>Hallett_2009</t>
  </si>
  <si>
    <t>Asghari_2012</t>
  </si>
  <si>
    <t>amf</t>
  </si>
  <si>
    <t>plantage</t>
  </si>
  <si>
    <t>POT</t>
  </si>
  <si>
    <t>pen</t>
  </si>
  <si>
    <t>coi</t>
  </si>
  <si>
    <t>myc+</t>
  </si>
  <si>
    <t>uninoculated</t>
  </si>
  <si>
    <t>colpheno</t>
  </si>
  <si>
    <t>inoculated</t>
  </si>
  <si>
    <t>short</t>
  </si>
  <si>
    <t>long</t>
  </si>
  <si>
    <t>Trial_length</t>
  </si>
  <si>
    <t>Soil_P</t>
  </si>
  <si>
    <t>Soil_Zn</t>
  </si>
  <si>
    <t>nondef</t>
  </si>
  <si>
    <t>def</t>
  </si>
  <si>
    <t>tox</t>
  </si>
  <si>
    <t>shootK_wt</t>
  </si>
  <si>
    <t>sdshootK_wt</t>
  </si>
  <si>
    <t>rootK_rmc</t>
  </si>
  <si>
    <t>shootK_rmc</t>
  </si>
  <si>
    <t>rootK_wt</t>
  </si>
  <si>
    <t>sdrootK_rmc</t>
  </si>
  <si>
    <t>sdrootK_wt</t>
  </si>
  <si>
    <t>shootCa_rmc</t>
  </si>
  <si>
    <t>shootCa_wt</t>
  </si>
  <si>
    <t>sdshootK_rmc</t>
  </si>
  <si>
    <t>sdshootCa_wt</t>
  </si>
  <si>
    <t>rootCa_rmc</t>
  </si>
  <si>
    <t>rootCa_wt</t>
  </si>
  <si>
    <t>sdrootCa_rmc</t>
  </si>
  <si>
    <t>sdrootCa_wt</t>
  </si>
  <si>
    <t>shootCu_rmc</t>
  </si>
  <si>
    <t>shootCu_wt</t>
  </si>
  <si>
    <t>sdshootCu_wt</t>
  </si>
  <si>
    <t>rootCu_rmc</t>
  </si>
  <si>
    <t>rootCu_wt</t>
  </si>
  <si>
    <t>sdrootCu_rmc</t>
  </si>
  <si>
    <t>sdrootCu_wt</t>
  </si>
  <si>
    <t>shootMn_rmc</t>
  </si>
  <si>
    <t>shootMn_wt</t>
  </si>
  <si>
    <t>sdshootMn_rmc</t>
  </si>
  <si>
    <t>sdshootCa_rmc</t>
  </si>
  <si>
    <t>sdshootCu_rmc</t>
  </si>
  <si>
    <t>sdshootMn_wt</t>
  </si>
  <si>
    <t>rootMn_rmc</t>
  </si>
  <si>
    <t>rootMn_wt</t>
  </si>
  <si>
    <t>sdrootMn_rmc</t>
  </si>
  <si>
    <t>sdrootMn_wt</t>
  </si>
  <si>
    <t>shootMg_rmc</t>
  </si>
  <si>
    <t>shootMg_wt</t>
  </si>
  <si>
    <t>sdshootMg_rmc</t>
  </si>
  <si>
    <t>sdshootMg_wt</t>
  </si>
  <si>
    <t>rootMg_rmc</t>
  </si>
  <si>
    <t>rootMg_wt</t>
  </si>
  <si>
    <t>sdrootMg_rmc</t>
  </si>
  <si>
    <t>sdrootMg_wt</t>
  </si>
  <si>
    <t>pH category</t>
  </si>
  <si>
    <t>acidic</t>
  </si>
  <si>
    <t>neutral</t>
  </si>
  <si>
    <t>alkaline</t>
  </si>
  <si>
    <t>Soil_pH</t>
  </si>
  <si>
    <t>shootNa_rmc</t>
  </si>
  <si>
    <t>shootNa_wt</t>
  </si>
  <si>
    <t>sdshootNa_rmc</t>
  </si>
  <si>
    <t>sdshootNa_wt</t>
  </si>
  <si>
    <t>rootNa_rmc</t>
  </si>
  <si>
    <t>rootNa_wt</t>
  </si>
  <si>
    <t>sdrootNa_rmc</t>
  </si>
  <si>
    <t>sdrootNa_wt</t>
  </si>
  <si>
    <t>shootFe_rmc</t>
  </si>
  <si>
    <t>shootFe_wt</t>
  </si>
  <si>
    <t>sdshootFe_rmc</t>
  </si>
  <si>
    <t>sdshooFe_wt</t>
  </si>
  <si>
    <t>rootFe_rmc</t>
  </si>
  <si>
    <t>rootFe_wt</t>
  </si>
  <si>
    <t>sdrootFe_rmc</t>
  </si>
  <si>
    <t>sdrootFe_wt</t>
  </si>
  <si>
    <t>shootS_rmc</t>
  </si>
  <si>
    <t>shootS_wt</t>
  </si>
  <si>
    <t>sdshootS_rmc</t>
  </si>
  <si>
    <t>sdshootS_wt</t>
  </si>
  <si>
    <t>rootS_rmc</t>
  </si>
  <si>
    <t>rootS_wt</t>
  </si>
  <si>
    <t>sdrootS_rmc</t>
  </si>
  <si>
    <t>sdrootS_wt</t>
  </si>
  <si>
    <r>
      <t>shoot</t>
    </r>
    <r>
      <rPr>
        <sz val="12"/>
        <color theme="1"/>
        <rFont val="Calibri"/>
        <family val="2"/>
        <scheme val="minor"/>
      </rPr>
      <t>B</t>
    </r>
    <r>
      <rPr>
        <sz val="12"/>
        <color theme="1"/>
        <rFont val="Calibri"/>
        <family val="2"/>
        <scheme val="minor"/>
      </rPr>
      <t>_rmc</t>
    </r>
  </si>
  <si>
    <t>shootB_wt</t>
  </si>
  <si>
    <t>sdshootB_rmc</t>
  </si>
  <si>
    <t>sdshootB_wt</t>
  </si>
  <si>
    <t>rootB_rmc</t>
  </si>
  <si>
    <t>rootB_wt</t>
  </si>
  <si>
    <t>sdrootB_rmc</t>
  </si>
  <si>
    <t>sdrootB_wt</t>
  </si>
  <si>
    <t>Colonisation 76R</t>
  </si>
  <si>
    <r>
      <t xml:space="preserve">Colonisation </t>
    </r>
    <r>
      <rPr>
        <b/>
        <i/>
        <sz val="12"/>
        <color theme="1"/>
        <rFont val="Calibri"/>
        <scheme val="minor"/>
      </rPr>
      <t>rmc</t>
    </r>
  </si>
  <si>
    <t>Shoot biomass</t>
  </si>
  <si>
    <t>Root biomass</t>
  </si>
  <si>
    <t>Shoot P conc.</t>
  </si>
  <si>
    <t>Root P conc.</t>
  </si>
  <si>
    <t>Shoot Zn conc.</t>
  </si>
  <si>
    <t>Root Zn conc.</t>
  </si>
  <si>
    <t>Soil P conc.</t>
  </si>
  <si>
    <t>Soil Zn conc.</t>
  </si>
  <si>
    <t>ICP-AES data</t>
  </si>
  <si>
    <t>Barker et al. (1998)</t>
  </si>
  <si>
    <t>*</t>
  </si>
  <si>
    <t>Gao et al. (2001)</t>
  </si>
  <si>
    <t>Cavagnaro et al. (2004a)</t>
  </si>
  <si>
    <t>Marschner and Timonen (2005)</t>
  </si>
  <si>
    <t>Poulsen et al. (2005)</t>
  </si>
  <si>
    <t>Cavagnaro et al. (2006)</t>
  </si>
  <si>
    <t>Cavagnaro et al. (2007)</t>
  </si>
  <si>
    <t>Cavagnaro et al. (2008)</t>
  </si>
  <si>
    <t>Manjarrez et al. (2008)</t>
  </si>
  <si>
    <t>Manjarrez (2009)</t>
  </si>
  <si>
    <t>Hallett et al. (2009)</t>
  </si>
  <si>
    <t>Cavagnaro et al. (2010)</t>
  </si>
  <si>
    <t>Manjarrez (2010)</t>
  </si>
  <si>
    <t>Cavagnaro and Martin (2011)</t>
  </si>
  <si>
    <t>Schwarz et al. (2011)</t>
  </si>
  <si>
    <t>Cavagnaro et al. (2012)</t>
  </si>
  <si>
    <t>Watts-Williams and Cavagnaro (2012)</t>
  </si>
  <si>
    <t>Ruzicka et al. (2012)</t>
  </si>
  <si>
    <t>Watts-Williams et al. (2013)</t>
  </si>
  <si>
    <t>Cavagnaro et al. (2004b)</t>
  </si>
  <si>
    <t>Complicated treatments - nurse pots</t>
  </si>
  <si>
    <t>Gao et al. (2004)</t>
  </si>
  <si>
    <t>low quality graphs, could not extract data accurately</t>
  </si>
  <si>
    <t>Barker et al (2005)</t>
  </si>
  <si>
    <t>Colonisation by root parasites only</t>
  </si>
  <si>
    <t>Neumann and George (2005)</t>
  </si>
  <si>
    <t>Complicated treatments</t>
  </si>
  <si>
    <t>Timonen et al (2006)</t>
  </si>
  <si>
    <t>Bago et al. (2006)</t>
  </si>
  <si>
    <t>whole plant not grown - just roots</t>
  </si>
  <si>
    <t>Larkan et al. (2007)</t>
  </si>
  <si>
    <t>molecular expt, no plants grown</t>
  </si>
  <si>
    <t>Muller et al. (2013)</t>
  </si>
  <si>
    <t>Report 'surface colonisation' of rmc</t>
  </si>
  <si>
    <t>Larkan et al. (2013)</t>
  </si>
  <si>
    <t>Trials within study</t>
  </si>
  <si>
    <t>Asghari and Cavagnaro (2012)</t>
  </si>
  <si>
    <t>Watts-Williams et al. (2014)</t>
  </si>
  <si>
    <t>Soil_P_old</t>
  </si>
  <si>
    <t>myc</t>
  </si>
  <si>
    <t>sdw</t>
  </si>
  <si>
    <t>rdw</t>
  </si>
  <si>
    <t>We ask that prior to making use of the data in this file that the authors be contacted (timothy.cavagnaro@adelaide.edu.au or soilecology.org) so that any details of proposed use might be discussed. We ask this to ensure that data are used appropriately and any limitations or contetually relevent infomration associated with the are clealry understood and taken into account. Thank you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</si>
</sst>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18">
    <font>
      <sz val="12"/>
      <color theme="1"/>
      <name val="Calibri"/>
      <family val="2"/>
      <scheme val="minor"/>
    </font>
    <font>
      <b/>
      <sz val="12"/>
      <color theme="1"/>
      <name val="Calibri"/>
      <family val="2"/>
      <scheme val="minor"/>
    </font>
    <font>
      <b/>
      <sz val="11"/>
      <color theme="1"/>
      <name val="Calibri"/>
      <scheme val="minor"/>
    </font>
    <font>
      <sz val="11"/>
      <color theme="1"/>
      <name val="Calibri"/>
      <scheme val="minor"/>
    </font>
    <font>
      <b/>
      <sz val="11"/>
      <color rgb="FF000000"/>
      <name val="Calibri"/>
      <scheme val="minor"/>
    </font>
    <font>
      <b/>
      <i/>
      <sz val="11"/>
      <color rgb="FF000000"/>
      <name val="Calibri"/>
      <scheme val="minor"/>
    </font>
    <font>
      <i/>
      <sz val="12"/>
      <color theme="1"/>
      <name val="Calibri"/>
      <scheme val="minor"/>
    </font>
    <font>
      <sz val="12"/>
      <name val="Calibri"/>
      <scheme val="minor"/>
    </font>
    <font>
      <sz val="12"/>
      <color rgb="FF000000"/>
      <name val="Calibri"/>
      <family val="2"/>
      <scheme val="minor"/>
    </font>
    <font>
      <sz val="12"/>
      <color theme="1"/>
      <name val="Times New Roman"/>
    </font>
    <font>
      <sz val="12"/>
      <color rgb="FF333333"/>
      <name val="Calibri"/>
      <scheme val="minor"/>
    </font>
    <font>
      <sz val="12"/>
      <color rgb="FF000000"/>
      <name val="Calibri"/>
    </font>
    <font>
      <sz val="12"/>
      <color theme="1"/>
      <name val="Calibri"/>
    </font>
    <font>
      <u/>
      <sz val="12"/>
      <color theme="10"/>
      <name val="Calibri"/>
      <family val="2"/>
      <scheme val="minor"/>
    </font>
    <font>
      <u/>
      <sz val="12"/>
      <color theme="11"/>
      <name val="Calibri"/>
      <family val="2"/>
      <scheme val="minor"/>
    </font>
    <font>
      <b/>
      <i/>
      <sz val="12"/>
      <color theme="1"/>
      <name val="Calibri"/>
      <scheme val="minor"/>
    </font>
    <font>
      <sz val="18"/>
      <color theme="1"/>
      <name val="Calibri"/>
      <scheme val="minor"/>
    </font>
    <font>
      <sz val="16"/>
      <color theme="1"/>
      <name val="Calibri"/>
      <scheme val="minor"/>
    </font>
  </fonts>
  <fills count="5">
    <fill>
      <patternFill patternType="none"/>
    </fill>
    <fill>
      <patternFill patternType="gray125"/>
    </fill>
    <fill>
      <patternFill patternType="solid">
        <fgColor theme="7" tint="0.79998168889431442"/>
        <bgColor indexed="64"/>
      </patternFill>
    </fill>
    <fill>
      <patternFill patternType="solid">
        <fgColor theme="7" tint="0.79998168889431442"/>
        <bgColor rgb="FF000000"/>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theme="6" tint="0.79998168889431442"/>
      </top>
      <bottom style="thin">
        <color theme="6" tint="0.79998168889431442"/>
      </bottom>
      <diagonal/>
    </border>
    <border>
      <left style="thin">
        <color auto="1"/>
      </left>
      <right style="thin">
        <color auto="1"/>
      </right>
      <top/>
      <bottom/>
      <diagonal/>
    </border>
    <border>
      <left style="thin">
        <color auto="1"/>
      </left>
      <right style="thin">
        <color auto="1"/>
      </right>
      <top style="thin">
        <color auto="1"/>
      </top>
      <bottom style="thin">
        <color theme="6" tint="0.79998168889431442"/>
      </bottom>
      <diagonal/>
    </border>
    <border>
      <left style="thin">
        <color auto="1"/>
      </left>
      <right/>
      <top/>
      <bottom style="thin">
        <color auto="1"/>
      </bottom>
      <diagonal/>
    </border>
    <border>
      <left style="thin">
        <color auto="1"/>
      </left>
      <right style="thin">
        <color auto="1"/>
      </right>
      <top style="thin">
        <color theme="6" tint="0.79998168889431442"/>
      </top>
      <bottom style="thin">
        <color theme="6" tint="0.79998168889431442"/>
      </bottom>
      <diagonal/>
    </border>
    <border>
      <left style="thin">
        <color auto="1"/>
      </left>
      <right style="thin">
        <color auto="1"/>
      </right>
      <top style="thin">
        <color theme="6" tint="0.79998168889431442"/>
      </top>
      <bottom style="thin">
        <color auto="1"/>
      </bottom>
      <diagonal/>
    </border>
    <border>
      <left style="thin">
        <color auto="1"/>
      </left>
      <right/>
      <top/>
      <bottom/>
      <diagonal/>
    </border>
    <border>
      <left/>
      <right/>
      <top/>
      <bottom style="thin">
        <color theme="6" tint="0.79998168889431442"/>
      </bottom>
      <diagonal/>
    </border>
    <border>
      <left/>
      <right/>
      <top/>
      <bottom style="thin">
        <color auto="1"/>
      </bottom>
      <diagonal/>
    </border>
  </borders>
  <cellStyleXfs count="991">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236">
    <xf numFmtId="0" fontId="0" fillId="0" borderId="0" xfId="0"/>
    <xf numFmtId="0" fontId="2" fillId="0"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0" xfId="0" applyFont="1" applyFill="1" applyAlignment="1">
      <alignment horizontal="center" vertical="center" wrapText="1"/>
    </xf>
    <xf numFmtId="0" fontId="0" fillId="0" borderId="2" xfId="0" applyFill="1" applyBorder="1" applyAlignment="1">
      <alignment horizontal="left" vertical="center"/>
    </xf>
    <xf numFmtId="0" fontId="0" fillId="0" borderId="2" xfId="0" applyFont="1" applyFill="1" applyBorder="1"/>
    <xf numFmtId="0" fontId="0" fillId="0" borderId="2" xfId="0" applyFill="1" applyBorder="1"/>
    <xf numFmtId="0" fontId="6" fillId="0" borderId="2" xfId="0" applyFont="1" applyFill="1" applyBorder="1"/>
    <xf numFmtId="0" fontId="0" fillId="0" borderId="7" xfId="0" applyFill="1" applyBorder="1"/>
    <xf numFmtId="1" fontId="0" fillId="0" borderId="2" xfId="0" applyNumberFormat="1" applyFill="1" applyBorder="1"/>
    <xf numFmtId="0" fontId="0" fillId="0" borderId="3" xfId="0" applyFill="1" applyBorder="1"/>
    <xf numFmtId="0" fontId="1" fillId="0" borderId="3" xfId="0" applyFont="1" applyFill="1" applyBorder="1"/>
    <xf numFmtId="2" fontId="0" fillId="0" borderId="3" xfId="0" applyNumberFormat="1" applyFill="1" applyBorder="1"/>
    <xf numFmtId="0" fontId="0" fillId="0" borderId="0" xfId="0" applyFill="1" applyBorder="1"/>
    <xf numFmtId="164" fontId="0" fillId="0" borderId="2" xfId="0" applyNumberFormat="1" applyFill="1" applyBorder="1"/>
    <xf numFmtId="165" fontId="0" fillId="0" borderId="2" xfId="0" applyNumberFormat="1" applyFill="1" applyBorder="1"/>
    <xf numFmtId="0" fontId="0" fillId="2" borderId="2" xfId="0" applyFill="1" applyBorder="1" applyAlignment="1">
      <alignment horizontal="left" vertical="center"/>
    </xf>
    <xf numFmtId="0" fontId="0" fillId="2" borderId="2" xfId="0" applyFont="1" applyFill="1" applyBorder="1"/>
    <xf numFmtId="0" fontId="0" fillId="2" borderId="2" xfId="0" applyFill="1" applyBorder="1"/>
    <xf numFmtId="0" fontId="6" fillId="2" borderId="2" xfId="0" applyFont="1" applyFill="1" applyBorder="1"/>
    <xf numFmtId="1" fontId="0" fillId="2" borderId="2" xfId="0" applyNumberFormat="1" applyFont="1" applyFill="1" applyBorder="1"/>
    <xf numFmtId="2" fontId="0" fillId="2" borderId="2" xfId="0" applyNumberFormat="1" applyFont="1" applyFill="1" applyBorder="1"/>
    <xf numFmtId="165" fontId="0" fillId="2" borderId="2" xfId="0" applyNumberFormat="1" applyFill="1" applyBorder="1"/>
    <xf numFmtId="165" fontId="7" fillId="2" borderId="2" xfId="0" applyNumberFormat="1" applyFont="1" applyFill="1" applyBorder="1"/>
    <xf numFmtId="165" fontId="0" fillId="2" borderId="2" xfId="0" applyNumberFormat="1" applyFont="1" applyFill="1" applyBorder="1"/>
    <xf numFmtId="1" fontId="0" fillId="2" borderId="2" xfId="0" applyNumberFormat="1" applyFill="1" applyBorder="1"/>
    <xf numFmtId="1" fontId="0" fillId="2" borderId="3" xfId="0" applyNumberFormat="1" applyFill="1" applyBorder="1"/>
    <xf numFmtId="164" fontId="0" fillId="2" borderId="3" xfId="0" applyNumberFormat="1" applyFont="1" applyFill="1" applyBorder="1"/>
    <xf numFmtId="2" fontId="0" fillId="2" borderId="3" xfId="0" applyNumberFormat="1" applyFill="1" applyBorder="1"/>
    <xf numFmtId="166" fontId="0" fillId="2" borderId="3" xfId="0" applyNumberFormat="1" applyFill="1" applyBorder="1"/>
    <xf numFmtId="165" fontId="0" fillId="2" borderId="3" xfId="0" applyNumberFormat="1" applyFill="1" applyBorder="1"/>
    <xf numFmtId="2" fontId="0" fillId="2" borderId="2" xfId="0" applyNumberFormat="1" applyFill="1" applyBorder="1"/>
    <xf numFmtId="166" fontId="0" fillId="2" borderId="2" xfId="0" applyNumberFormat="1" applyFill="1" applyBorder="1"/>
    <xf numFmtId="0" fontId="0" fillId="2" borderId="1" xfId="0" applyFill="1" applyBorder="1"/>
    <xf numFmtId="1" fontId="0" fillId="0" borderId="2" xfId="0" applyNumberFormat="1" applyFont="1" applyBorder="1"/>
    <xf numFmtId="0" fontId="0" fillId="0" borderId="2" xfId="0" applyNumberFormat="1" applyFont="1" applyBorder="1"/>
    <xf numFmtId="164" fontId="0" fillId="0" borderId="2" xfId="0" applyNumberFormat="1" applyFont="1" applyBorder="1"/>
    <xf numFmtId="0" fontId="0" fillId="0" borderId="5" xfId="0" applyFill="1" applyBorder="1"/>
    <xf numFmtId="2" fontId="0" fillId="0" borderId="2" xfId="0" applyNumberFormat="1" applyFill="1" applyBorder="1"/>
    <xf numFmtId="164" fontId="0" fillId="0" borderId="10" xfId="0" applyNumberFormat="1" applyFont="1" applyBorder="1"/>
    <xf numFmtId="1" fontId="0" fillId="0" borderId="3" xfId="0" applyNumberFormat="1" applyFill="1" applyBorder="1"/>
    <xf numFmtId="164" fontId="0" fillId="0" borderId="3" xfId="0" applyNumberFormat="1" applyFont="1" applyFill="1" applyBorder="1"/>
    <xf numFmtId="166" fontId="0" fillId="0" borderId="3" xfId="0" applyNumberFormat="1" applyFill="1" applyBorder="1"/>
    <xf numFmtId="165" fontId="0" fillId="0" borderId="3" xfId="0" applyNumberFormat="1" applyFill="1" applyBorder="1"/>
    <xf numFmtId="1" fontId="0" fillId="0" borderId="10" xfId="0" applyNumberFormat="1" applyFont="1" applyBorder="1"/>
    <xf numFmtId="0" fontId="8" fillId="2" borderId="2" xfId="0" applyFont="1" applyFill="1" applyBorder="1" applyAlignment="1">
      <alignment horizontal="left" vertical="center"/>
    </xf>
    <xf numFmtId="0" fontId="0" fillId="2" borderId="7" xfId="0" applyFill="1" applyBorder="1"/>
    <xf numFmtId="0" fontId="0" fillId="2" borderId="3" xfId="0" applyFill="1" applyBorder="1"/>
    <xf numFmtId="164" fontId="1" fillId="2" borderId="3" xfId="0" applyNumberFormat="1" applyFont="1" applyFill="1" applyBorder="1"/>
    <xf numFmtId="164" fontId="1" fillId="0" borderId="3" xfId="0" applyNumberFormat="1" applyFont="1" applyFill="1" applyBorder="1"/>
    <xf numFmtId="0" fontId="0" fillId="0" borderId="1" xfId="0" applyFill="1" applyBorder="1"/>
    <xf numFmtId="0" fontId="0" fillId="2" borderId="5" xfId="0" applyFill="1" applyBorder="1"/>
    <xf numFmtId="166" fontId="0" fillId="0" borderId="2" xfId="0" applyNumberFormat="1" applyFill="1" applyBorder="1"/>
    <xf numFmtId="0" fontId="9" fillId="0" borderId="2" xfId="0" applyFont="1" applyBorder="1"/>
    <xf numFmtId="1" fontId="0" fillId="2" borderId="2" xfId="0" quotePrefix="1" applyNumberFormat="1" applyFill="1" applyBorder="1"/>
    <xf numFmtId="0" fontId="0" fillId="2" borderId="2" xfId="0" applyFont="1" applyFill="1" applyBorder="1" applyAlignment="1">
      <alignment vertical="center"/>
    </xf>
    <xf numFmtId="164" fontId="0" fillId="2" borderId="2" xfId="0" quotePrefix="1" applyNumberFormat="1" applyFill="1" applyBorder="1"/>
    <xf numFmtId="166" fontId="0" fillId="2" borderId="2" xfId="0" quotePrefix="1" applyNumberFormat="1" applyFill="1" applyBorder="1"/>
    <xf numFmtId="2" fontId="0" fillId="2" borderId="2" xfId="0" quotePrefix="1" applyNumberFormat="1" applyFill="1" applyBorder="1"/>
    <xf numFmtId="0" fontId="0" fillId="0" borderId="2" xfId="0" applyFill="1" applyBorder="1" applyAlignment="1">
      <alignment horizontal="left"/>
    </xf>
    <xf numFmtId="1" fontId="0" fillId="0" borderId="2" xfId="0" applyNumberFormat="1" applyFont="1" applyFill="1" applyBorder="1"/>
    <xf numFmtId="1" fontId="8" fillId="0" borderId="2" xfId="0" applyNumberFormat="1" applyFont="1" applyFill="1" applyBorder="1"/>
    <xf numFmtId="0" fontId="1" fillId="0" borderId="2" xfId="0" applyFont="1" applyFill="1" applyBorder="1"/>
    <xf numFmtId="0" fontId="0" fillId="0" borderId="2" xfId="0" applyFont="1" applyFill="1" applyBorder="1" applyAlignment="1">
      <alignment vertical="center"/>
    </xf>
    <xf numFmtId="0" fontId="10" fillId="0" borderId="2" xfId="0" applyFont="1" applyFill="1" applyBorder="1"/>
    <xf numFmtId="0" fontId="0" fillId="2" borderId="5" xfId="0" applyFont="1" applyFill="1" applyBorder="1"/>
    <xf numFmtId="0" fontId="0" fillId="2" borderId="7" xfId="0" applyFont="1" applyFill="1" applyBorder="1"/>
    <xf numFmtId="0" fontId="6" fillId="2" borderId="7" xfId="0" applyFont="1" applyFill="1" applyBorder="1"/>
    <xf numFmtId="0" fontId="0" fillId="2" borderId="0" xfId="0" applyFill="1"/>
    <xf numFmtId="0" fontId="0" fillId="2" borderId="1" xfId="0" applyFont="1" applyFill="1" applyBorder="1"/>
    <xf numFmtId="0" fontId="0" fillId="2" borderId="11" xfId="0" applyFill="1" applyBorder="1"/>
    <xf numFmtId="0" fontId="0" fillId="2" borderId="3" xfId="0" applyFont="1" applyFill="1" applyBorder="1"/>
    <xf numFmtId="0" fontId="0" fillId="2" borderId="2" xfId="0" applyNumberFormat="1" applyFont="1" applyFill="1" applyBorder="1"/>
    <xf numFmtId="164" fontId="0" fillId="2" borderId="2" xfId="0" applyNumberFormat="1" applyFont="1" applyFill="1" applyBorder="1"/>
    <xf numFmtId="0" fontId="8" fillId="3" borderId="3" xfId="0" applyFont="1" applyFill="1" applyBorder="1"/>
    <xf numFmtId="0" fontId="8" fillId="2" borderId="2" xfId="0" applyFont="1" applyFill="1" applyBorder="1"/>
    <xf numFmtId="0" fontId="0" fillId="2" borderId="3" xfId="0" applyNumberFormat="1" applyFont="1" applyFill="1" applyBorder="1"/>
    <xf numFmtId="1" fontId="11" fillId="2" borderId="3" xfId="0" applyNumberFormat="1" applyFont="1" applyFill="1" applyBorder="1"/>
    <xf numFmtId="2" fontId="11" fillId="2" borderId="3" xfId="0" applyNumberFormat="1" applyFont="1" applyFill="1" applyBorder="1"/>
    <xf numFmtId="1" fontId="0" fillId="2" borderId="3" xfId="0" applyNumberFormat="1" applyFont="1" applyFill="1" applyBorder="1"/>
    <xf numFmtId="1" fontId="11" fillId="2" borderId="2" xfId="0" applyNumberFormat="1" applyFont="1" applyFill="1" applyBorder="1"/>
    <xf numFmtId="0" fontId="0" fillId="2" borderId="12" xfId="0" applyNumberFormat="1" applyFont="1" applyFill="1" applyBorder="1"/>
    <xf numFmtId="0" fontId="8" fillId="3" borderId="13" xfId="0" applyFont="1" applyFill="1" applyBorder="1"/>
    <xf numFmtId="0" fontId="0" fillId="2" borderId="14" xfId="0" applyNumberFormat="1" applyFont="1" applyFill="1" applyBorder="1"/>
    <xf numFmtId="0" fontId="0" fillId="2" borderId="15" xfId="0" applyNumberFormat="1" applyFont="1" applyFill="1" applyBorder="1"/>
    <xf numFmtId="164" fontId="0" fillId="2" borderId="2" xfId="0" applyNumberFormat="1" applyFill="1" applyBorder="1"/>
    <xf numFmtId="2" fontId="11" fillId="2" borderId="2" xfId="0" applyNumberFormat="1" applyFont="1" applyFill="1" applyBorder="1"/>
    <xf numFmtId="0" fontId="6" fillId="2" borderId="1" xfId="0" applyFont="1" applyFill="1" applyBorder="1"/>
    <xf numFmtId="0" fontId="0" fillId="2" borderId="9" xfId="0" applyFill="1" applyBorder="1"/>
    <xf numFmtId="0" fontId="0" fillId="2" borderId="8" xfId="0" applyFill="1" applyBorder="1"/>
    <xf numFmtId="0" fontId="8" fillId="3" borderId="16" xfId="0" applyFont="1" applyFill="1" applyBorder="1"/>
    <xf numFmtId="0" fontId="0" fillId="2" borderId="8" xfId="0" applyFont="1" applyFill="1" applyBorder="1"/>
    <xf numFmtId="0" fontId="0" fillId="2" borderId="9" xfId="0" applyFont="1" applyFill="1" applyBorder="1"/>
    <xf numFmtId="0" fontId="0" fillId="0" borderId="9" xfId="0" applyFill="1" applyBorder="1"/>
    <xf numFmtId="0" fontId="0" fillId="0" borderId="7" xfId="0" applyNumberFormat="1" applyFont="1" applyBorder="1"/>
    <xf numFmtId="164" fontId="0" fillId="0" borderId="7" xfId="0" applyNumberFormat="1" applyFont="1" applyBorder="1"/>
    <xf numFmtId="1" fontId="0" fillId="0" borderId="7" xfId="0" applyNumberFormat="1" applyFont="1" applyBorder="1"/>
    <xf numFmtId="0" fontId="8" fillId="0" borderId="2" xfId="0" applyFont="1" applyFill="1" applyBorder="1"/>
    <xf numFmtId="0" fontId="12" fillId="0" borderId="2" xfId="0" applyFont="1" applyFill="1" applyBorder="1"/>
    <xf numFmtId="1" fontId="12" fillId="0" borderId="2" xfId="0" applyNumberFormat="1" applyFont="1" applyFill="1" applyBorder="1"/>
    <xf numFmtId="1" fontId="11" fillId="0" borderId="2" xfId="0" applyNumberFormat="1" applyFont="1" applyFill="1" applyBorder="1"/>
    <xf numFmtId="2" fontId="11" fillId="0" borderId="2" xfId="0" applyNumberFormat="1" applyFont="1" applyFill="1" applyBorder="1"/>
    <xf numFmtId="166" fontId="12" fillId="0" borderId="2" xfId="0" applyNumberFormat="1" applyFont="1" applyFill="1" applyBorder="1"/>
    <xf numFmtId="164" fontId="0" fillId="0" borderId="0" xfId="0" applyNumberFormat="1" applyFill="1"/>
    <xf numFmtId="0" fontId="0" fillId="0" borderId="6" xfId="0" applyFill="1" applyBorder="1"/>
    <xf numFmtId="0" fontId="8" fillId="0" borderId="7" xfId="0" applyFont="1" applyFill="1" applyBorder="1"/>
    <xf numFmtId="0" fontId="8" fillId="0" borderId="2" xfId="0" applyFont="1" applyBorder="1"/>
    <xf numFmtId="0" fontId="0" fillId="2" borderId="2" xfId="0" applyFill="1" applyBorder="1" applyAlignment="1">
      <alignment horizontal="left"/>
    </xf>
    <xf numFmtId="0" fontId="0" fillId="2" borderId="7" xfId="0" applyNumberFormat="1" applyFont="1" applyFill="1" applyBorder="1"/>
    <xf numFmtId="0" fontId="0" fillId="2" borderId="13" xfId="0" applyNumberFormat="1" applyFont="1" applyFill="1" applyBorder="1"/>
    <xf numFmtId="1" fontId="0" fillId="2" borderId="7" xfId="0" applyNumberFormat="1" applyFont="1" applyFill="1" applyBorder="1"/>
    <xf numFmtId="0" fontId="12" fillId="2" borderId="2" xfId="0" applyFont="1" applyFill="1" applyBorder="1"/>
    <xf numFmtId="166" fontId="0" fillId="2" borderId="2" xfId="0" applyNumberFormat="1" applyFont="1" applyFill="1" applyBorder="1"/>
    <xf numFmtId="166" fontId="1" fillId="2" borderId="2" xfId="0" applyNumberFormat="1" applyFont="1" applyFill="1" applyBorder="1"/>
    <xf numFmtId="164" fontId="0" fillId="2" borderId="1" xfId="0" applyNumberFormat="1" applyFont="1" applyFill="1" applyBorder="1"/>
    <xf numFmtId="0" fontId="0" fillId="2" borderId="1" xfId="0" applyNumberFormat="1" applyFont="1" applyFill="1" applyBorder="1"/>
    <xf numFmtId="0" fontId="0" fillId="2" borderId="9" xfId="0" applyNumberFormat="1" applyFont="1" applyFill="1" applyBorder="1"/>
    <xf numFmtId="1" fontId="0" fillId="2" borderId="1" xfId="0" applyNumberFormat="1" applyFont="1" applyFill="1" applyBorder="1"/>
    <xf numFmtId="164" fontId="0" fillId="2" borderId="1" xfId="0" applyNumberFormat="1" applyFill="1" applyBorder="1"/>
    <xf numFmtId="0" fontId="12" fillId="2" borderId="1" xfId="0" applyFont="1" applyFill="1" applyBorder="1"/>
    <xf numFmtId="1" fontId="11" fillId="2" borderId="1" xfId="0" applyNumberFormat="1" applyFont="1" applyFill="1" applyBorder="1"/>
    <xf numFmtId="2" fontId="0" fillId="2" borderId="1" xfId="0" applyNumberFormat="1" applyFont="1" applyFill="1" applyBorder="1"/>
    <xf numFmtId="165" fontId="0" fillId="2" borderId="1" xfId="0" applyNumberFormat="1" applyFill="1" applyBorder="1"/>
    <xf numFmtId="166" fontId="0" fillId="2" borderId="1" xfId="0" applyNumberFormat="1" applyFont="1" applyFill="1" applyBorder="1"/>
    <xf numFmtId="166" fontId="0" fillId="2" borderId="1" xfId="0" applyNumberFormat="1" applyFill="1" applyBorder="1"/>
    <xf numFmtId="0" fontId="0" fillId="0" borderId="2" xfId="0" applyNumberFormat="1" applyFont="1" applyFill="1" applyBorder="1"/>
    <xf numFmtId="0" fontId="1" fillId="2" borderId="2" xfId="0" applyFont="1" applyFill="1" applyBorder="1"/>
    <xf numFmtId="0" fontId="0" fillId="2" borderId="2" xfId="0" applyFill="1" applyBorder="1" applyAlignment="1">
      <alignment horizontal="right"/>
    </xf>
    <xf numFmtId="0" fontId="0" fillId="2" borderId="0" xfId="0" applyFill="1" applyBorder="1"/>
    <xf numFmtId="0" fontId="0" fillId="0" borderId="0" xfId="0" applyFill="1" applyAlignment="1">
      <alignment horizontal="left"/>
    </xf>
    <xf numFmtId="0" fontId="0" fillId="0" borderId="0" xfId="0" applyFont="1" applyFill="1"/>
    <xf numFmtId="0" fontId="0" fillId="0" borderId="0" xfId="0" applyFill="1"/>
    <xf numFmtId="0" fontId="1" fillId="0" borderId="0" xfId="0" applyFont="1" applyFill="1"/>
    <xf numFmtId="1" fontId="0" fillId="0" borderId="17" xfId="0" applyNumberFormat="1" applyFont="1" applyBorder="1"/>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164" fontId="0" fillId="0" borderId="0" xfId="0" applyNumberFormat="1" applyFont="1" applyFill="1" applyBorder="1" applyAlignment="1">
      <alignment horizontal="right" vertical="center"/>
    </xf>
    <xf numFmtId="164" fontId="12" fillId="0" borderId="0"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164" fontId="0" fillId="0" borderId="2" xfId="0" applyNumberFormat="1" applyFont="1" applyFill="1" applyBorder="1" applyAlignment="1">
      <alignment horizontal="right" vertical="center"/>
    </xf>
    <xf numFmtId="1" fontId="12" fillId="0" borderId="0" xfId="0" applyNumberFormat="1" applyFont="1" applyFill="1" applyBorder="1"/>
    <xf numFmtId="0" fontId="0" fillId="0" borderId="0" xfId="0" applyFill="1" applyBorder="1" applyAlignment="1">
      <alignment horizontal="center" vertical="center"/>
    </xf>
    <xf numFmtId="0" fontId="8" fillId="0" borderId="0" xfId="0" applyFont="1" applyFill="1" applyBorder="1" applyAlignment="1">
      <alignment horizontal="center"/>
    </xf>
    <xf numFmtId="0" fontId="0" fillId="0" borderId="0" xfId="0" applyFill="1" applyBorder="1" applyAlignment="1">
      <alignment horizontal="center"/>
    </xf>
    <xf numFmtId="2" fontId="7"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166" fontId="0" fillId="0" borderId="0" xfId="0" applyNumberFormat="1" applyFill="1" applyBorder="1" applyAlignment="1">
      <alignment horizontal="center" vertical="center"/>
    </xf>
    <xf numFmtId="164" fontId="0" fillId="0" borderId="0" xfId="0" applyNumberFormat="1" applyFill="1" applyBorder="1" applyAlignment="1">
      <alignment horizontal="center"/>
    </xf>
    <xf numFmtId="1" fontId="0" fillId="0" borderId="0" xfId="0" applyNumberFormat="1" applyFill="1" applyBorder="1" applyAlignment="1">
      <alignment horizontal="center"/>
    </xf>
    <xf numFmtId="1" fontId="9" fillId="0" borderId="0" xfId="0" applyNumberFormat="1" applyFont="1" applyFill="1" applyBorder="1" applyAlignment="1">
      <alignment horizontal="center"/>
    </xf>
    <xf numFmtId="164" fontId="0" fillId="0" borderId="0" xfId="0" quotePrefix="1" applyNumberFormat="1" applyFill="1" applyBorder="1" applyAlignment="1">
      <alignment horizontal="center" vertical="center"/>
    </xf>
    <xf numFmtId="164" fontId="0" fillId="0" borderId="0" xfId="0" quotePrefix="1" applyNumberFormat="1" applyFill="1" applyBorder="1" applyAlignment="1">
      <alignment horizontal="center"/>
    </xf>
    <xf numFmtId="1" fontId="8" fillId="0" borderId="0" xfId="0" applyNumberFormat="1" applyFont="1" applyFill="1" applyBorder="1" applyAlignment="1">
      <alignment horizontal="center"/>
    </xf>
    <xf numFmtId="164" fontId="8"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xf>
    <xf numFmtId="1"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164"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66" fontId="12"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 fontId="0" fillId="0" borderId="0" xfId="0" quotePrefix="1" applyNumberFormat="1" applyFill="1" applyBorder="1" applyAlignment="1">
      <alignment horizontal="center"/>
    </xf>
    <xf numFmtId="0" fontId="8" fillId="0" borderId="0" xfId="0" applyFont="1" applyFill="1" applyBorder="1" applyAlignment="1">
      <alignment horizontal="center" vertical="center"/>
    </xf>
    <xf numFmtId="1" fontId="0" fillId="0" borderId="10" xfId="0" applyNumberFormat="1" applyFont="1" applyBorder="1" applyAlignment="1">
      <alignment horizontal="center"/>
    </xf>
    <xf numFmtId="0" fontId="2" fillId="0" borderId="1" xfId="0" applyFont="1" applyFill="1" applyBorder="1" applyAlignment="1">
      <alignment horizontal="center" vertical="center" wrapText="1"/>
    </xf>
    <xf numFmtId="2" fontId="0" fillId="0" borderId="0" xfId="0" applyNumberFormat="1" applyFont="1" applyFill="1" applyBorder="1" applyAlignment="1">
      <alignment horizontal="center"/>
    </xf>
    <xf numFmtId="2" fontId="0" fillId="0" borderId="10" xfId="0" applyNumberFormat="1" applyFont="1" applyBorder="1" applyAlignment="1">
      <alignment horizontal="center"/>
    </xf>
    <xf numFmtId="0" fontId="8" fillId="0" borderId="0" xfId="0" applyFont="1" applyAlignment="1">
      <alignment horizontal="center"/>
    </xf>
    <xf numFmtId="0" fontId="8" fillId="0" borderId="0" xfId="0" applyFont="1" applyAlignment="1">
      <alignment horizontal="center" vertical="center"/>
    </xf>
    <xf numFmtId="1" fontId="8" fillId="0" borderId="0" xfId="0" applyNumberFormat="1" applyFont="1" applyAlignment="1">
      <alignment horizontal="center" vertical="center"/>
    </xf>
    <xf numFmtId="164" fontId="8" fillId="0" borderId="0" xfId="0" applyNumberFormat="1" applyFont="1" applyAlignment="1">
      <alignment horizontal="center" vertical="center"/>
    </xf>
    <xf numFmtId="2" fontId="0" fillId="0" borderId="0" xfId="0" applyNumberFormat="1" applyFont="1" applyBorder="1" applyAlignment="1">
      <alignment horizontal="center"/>
    </xf>
    <xf numFmtId="2" fontId="0" fillId="0" borderId="0" xfId="0" applyNumberFormat="1" applyBorder="1" applyAlignment="1">
      <alignment horizontal="center"/>
    </xf>
    <xf numFmtId="2" fontId="0" fillId="0" borderId="0" xfId="0" quotePrefix="1" applyNumberFormat="1" applyFill="1" applyBorder="1" applyAlignment="1">
      <alignment horizontal="center"/>
    </xf>
    <xf numFmtId="0" fontId="1" fillId="0" borderId="0" xfId="0" applyFont="1" applyFill="1" applyBorder="1" applyAlignment="1">
      <alignment horizontal="center" vertical="center"/>
    </xf>
    <xf numFmtId="0" fontId="0" fillId="0" borderId="4" xfId="0" applyBorder="1"/>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0" fillId="0" borderId="0" xfId="0" applyFont="1" applyFill="1" applyBorder="1" applyAlignment="1">
      <alignment horizontal="right" vertical="center"/>
    </xf>
    <xf numFmtId="0" fontId="16" fillId="0" borderId="0" xfId="0" applyFont="1" applyBorder="1" applyAlignment="1">
      <alignment horizontal="center" vertical="top"/>
    </xf>
    <xf numFmtId="0" fontId="17" fillId="0" borderId="0" xfId="0" applyFont="1" applyBorder="1" applyAlignment="1">
      <alignment horizontal="center" vertical="center"/>
    </xf>
    <xf numFmtId="0" fontId="0" fillId="0" borderId="0" xfId="0" applyBorder="1"/>
    <xf numFmtId="0" fontId="8"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18" xfId="0" applyFont="1" applyFill="1" applyBorder="1" applyAlignment="1">
      <alignment horizontal="right" vertical="center"/>
    </xf>
    <xf numFmtId="0" fontId="16" fillId="0" borderId="18" xfId="0" applyFont="1" applyBorder="1" applyAlignment="1">
      <alignment horizontal="center" vertical="top"/>
    </xf>
    <xf numFmtId="0" fontId="17" fillId="0" borderId="18" xfId="0" applyFont="1" applyBorder="1" applyAlignment="1">
      <alignment horizontal="center" vertical="center"/>
    </xf>
    <xf numFmtId="0" fontId="0" fillId="0" borderId="2" xfId="0" applyFont="1" applyFill="1" applyBorder="1" applyAlignment="1">
      <alignment horizontal="right" vertical="center"/>
    </xf>
    <xf numFmtId="0" fontId="0" fillId="4" borderId="2" xfId="0" applyFill="1" applyBorder="1" applyAlignment="1">
      <alignment horizontal="center" vertical="top"/>
    </xf>
    <xf numFmtId="0" fontId="17" fillId="4" borderId="2" xfId="0" applyFont="1" applyFill="1" applyBorder="1" applyAlignment="1">
      <alignment horizontal="center" vertical="center"/>
    </xf>
    <xf numFmtId="0" fontId="16" fillId="4" borderId="2" xfId="0" applyFont="1" applyFill="1" applyBorder="1" applyAlignment="1">
      <alignment horizontal="center" vertical="top"/>
    </xf>
    <xf numFmtId="0" fontId="17" fillId="0" borderId="0" xfId="0" applyFont="1" applyAlignment="1">
      <alignment horizontal="center" vertical="center"/>
    </xf>
    <xf numFmtId="0" fontId="0" fillId="0" borderId="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Alignment="1">
      <alignment horizontal="center"/>
    </xf>
    <xf numFmtId="2" fontId="0" fillId="0" borderId="0" xfId="0" applyNumberFormat="1"/>
    <xf numFmtId="164" fontId="0" fillId="0" borderId="0" xfId="0" applyNumberFormat="1"/>
    <xf numFmtId="164" fontId="0" fillId="0" borderId="0" xfId="0" applyNumberFormat="1" applyAlignment="1">
      <alignment horizontal="center"/>
    </xf>
    <xf numFmtId="1" fontId="8" fillId="3" borderId="3" xfId="0" applyNumberFormat="1" applyFont="1" applyFill="1" applyBorder="1"/>
    <xf numFmtId="1" fontId="8" fillId="3" borderId="13" xfId="0" applyNumberFormat="1" applyFont="1" applyFill="1" applyBorder="1"/>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99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xVal>
            <c:numRef>
              <c:f>'Metafor sheet'!$E$107:$E$111</c:f>
              <c:numCache>
                <c:formatCode>General</c:formatCode>
                <c:ptCount val="5"/>
                <c:pt idx="0">
                  <c:v>1</c:v>
                </c:pt>
                <c:pt idx="1">
                  <c:v>23</c:v>
                </c:pt>
                <c:pt idx="2">
                  <c:v>48</c:v>
                </c:pt>
                <c:pt idx="3">
                  <c:v>74</c:v>
                </c:pt>
                <c:pt idx="4">
                  <c:v>98</c:v>
                </c:pt>
              </c:numCache>
            </c:numRef>
          </c:xVal>
          <c:yVal>
            <c:numRef>
              <c:f>'Metafor sheet'!$F$107:$F$111</c:f>
              <c:numCache>
                <c:formatCode>0</c:formatCode>
                <c:ptCount val="5"/>
                <c:pt idx="0">
                  <c:v>35.060501887354569</c:v>
                </c:pt>
                <c:pt idx="1">
                  <c:v>346</c:v>
                </c:pt>
                <c:pt idx="2">
                  <c:v>812</c:v>
                </c:pt>
                <c:pt idx="3">
                  <c:v>1360</c:v>
                </c:pt>
                <c:pt idx="4">
                  <c:v>2520</c:v>
                </c:pt>
              </c:numCache>
            </c:numRef>
          </c:yVal>
          <c:smooth val="0"/>
          <c:extLst>
            <c:ext xmlns:c16="http://schemas.microsoft.com/office/drawing/2014/chart" uri="{C3380CC4-5D6E-409C-BE32-E72D297353CC}">
              <c16:uniqueId val="{00000000-000D-794E-B91B-E86C98E3D6F9}"/>
            </c:ext>
          </c:extLst>
        </c:ser>
        <c:dLbls>
          <c:showLegendKey val="0"/>
          <c:showVal val="0"/>
          <c:showCatName val="0"/>
          <c:showSerName val="0"/>
          <c:showPercent val="0"/>
          <c:showBubbleSize val="0"/>
        </c:dLbls>
        <c:axId val="151724392"/>
        <c:axId val="151727416"/>
      </c:scatterChart>
      <c:valAx>
        <c:axId val="151724392"/>
        <c:scaling>
          <c:orientation val="minMax"/>
        </c:scaling>
        <c:delete val="0"/>
        <c:axPos val="b"/>
        <c:numFmt formatCode="General" sourceLinked="1"/>
        <c:majorTickMark val="out"/>
        <c:minorTickMark val="none"/>
        <c:tickLblPos val="nextTo"/>
        <c:crossAx val="151727416"/>
        <c:crosses val="autoZero"/>
        <c:crossBetween val="midCat"/>
      </c:valAx>
      <c:valAx>
        <c:axId val="151727416"/>
        <c:scaling>
          <c:orientation val="minMax"/>
        </c:scaling>
        <c:delete val="0"/>
        <c:axPos val="l"/>
        <c:minorGridlines/>
        <c:numFmt formatCode="0" sourceLinked="1"/>
        <c:majorTickMark val="out"/>
        <c:minorTickMark val="none"/>
        <c:tickLblPos val="nextTo"/>
        <c:crossAx val="151724392"/>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xVal>
            <c:numRef>
              <c:f>'Metafor sheet'!$O$106:$O$110</c:f>
              <c:numCache>
                <c:formatCode>0</c:formatCode>
                <c:ptCount val="5"/>
                <c:pt idx="0">
                  <c:v>3.7719999999999998</c:v>
                </c:pt>
                <c:pt idx="1">
                  <c:v>19.898666670000001</c:v>
                </c:pt>
                <c:pt idx="2">
                  <c:v>38.485333330000003</c:v>
                </c:pt>
                <c:pt idx="3">
                  <c:v>53.463999999999999</c:v>
                </c:pt>
                <c:pt idx="4">
                  <c:v>76.424000000000007</c:v>
                </c:pt>
              </c:numCache>
            </c:numRef>
          </c:xVal>
          <c:yVal>
            <c:numRef>
              <c:f>'Metafor sheet'!$P$106:$P$110</c:f>
              <c:numCache>
                <c:formatCode>0</c:formatCode>
                <c:ptCount val="5"/>
                <c:pt idx="0">
                  <c:v>1228</c:v>
                </c:pt>
                <c:pt idx="1">
                  <c:v>2380</c:v>
                </c:pt>
                <c:pt idx="2">
                  <c:v>4840</c:v>
                </c:pt>
                <c:pt idx="3">
                  <c:v>6040</c:v>
                </c:pt>
                <c:pt idx="4">
                  <c:v>6640</c:v>
                </c:pt>
              </c:numCache>
            </c:numRef>
          </c:yVal>
          <c:smooth val="0"/>
          <c:extLst>
            <c:ext xmlns:c16="http://schemas.microsoft.com/office/drawing/2014/chart" uri="{C3380CC4-5D6E-409C-BE32-E72D297353CC}">
              <c16:uniqueId val="{00000000-F6F2-3349-93B1-3C88D29B993B}"/>
            </c:ext>
          </c:extLst>
        </c:ser>
        <c:dLbls>
          <c:showLegendKey val="0"/>
          <c:showVal val="0"/>
          <c:showCatName val="0"/>
          <c:showSerName val="0"/>
          <c:showPercent val="0"/>
          <c:showBubbleSize val="0"/>
        </c:dLbls>
        <c:axId val="662642168"/>
        <c:axId val="662639000"/>
      </c:scatterChart>
      <c:valAx>
        <c:axId val="662642168"/>
        <c:scaling>
          <c:orientation val="minMax"/>
        </c:scaling>
        <c:delete val="0"/>
        <c:axPos val="b"/>
        <c:numFmt formatCode="0" sourceLinked="1"/>
        <c:majorTickMark val="out"/>
        <c:minorTickMark val="none"/>
        <c:tickLblPos val="nextTo"/>
        <c:crossAx val="662639000"/>
        <c:crosses val="autoZero"/>
        <c:crossBetween val="midCat"/>
      </c:valAx>
      <c:valAx>
        <c:axId val="662639000"/>
        <c:scaling>
          <c:orientation val="minMax"/>
        </c:scaling>
        <c:delete val="0"/>
        <c:axPos val="l"/>
        <c:majorGridlines/>
        <c:numFmt formatCode="0" sourceLinked="1"/>
        <c:majorTickMark val="out"/>
        <c:minorTickMark val="none"/>
        <c:tickLblPos val="nextTo"/>
        <c:crossAx val="662642168"/>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25400</xdr:colOff>
      <xdr:row>98</xdr:row>
      <xdr:rowOff>152400</xdr:rowOff>
    </xdr:from>
    <xdr:to>
      <xdr:col>12</xdr:col>
      <xdr:colOff>927100</xdr:colOff>
      <xdr:row>125</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800100</xdr:colOff>
      <xdr:row>110</xdr:row>
      <xdr:rowOff>171450</xdr:rowOff>
    </xdr:from>
    <xdr:to>
      <xdr:col>19</xdr:col>
      <xdr:colOff>406400</xdr:colOff>
      <xdr:row>125</xdr:row>
      <xdr:rowOff>57150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0.08444</cdr:x>
      <cdr:y>0.83085</cdr:y>
    </cdr:from>
    <cdr:to>
      <cdr:x>0.22889</cdr:x>
      <cdr:y>0.92289</cdr:y>
    </cdr:to>
    <cdr:cxnSp macro="">
      <cdr:nvCxnSpPr>
        <cdr:cNvPr id="3" name="Straight Connector 2">
          <a:extLst xmlns:a="http://schemas.openxmlformats.org/drawingml/2006/main">
            <a:ext uri="{FF2B5EF4-FFF2-40B4-BE49-F238E27FC236}">
              <a16:creationId xmlns:a16="http://schemas.microsoft.com/office/drawing/2014/main" id="{8BE97141-1411-294A-8CB9-82925D4167CA}"/>
            </a:ext>
          </a:extLst>
        </cdr:cNvPr>
        <cdr:cNvCxnSpPr/>
      </cdr:nvCxnSpPr>
      <cdr:spPr>
        <a:xfrm xmlns:a="http://schemas.openxmlformats.org/drawingml/2006/main" flipV="1">
          <a:off x="482600" y="4241800"/>
          <a:ext cx="825500" cy="469900"/>
        </a:xfrm>
        <a:prstGeom xmlns:a="http://schemas.openxmlformats.org/drawingml/2006/main" prst="line">
          <a:avLst/>
        </a:prstGeom>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9F8DD-6A03-6F4B-9CD6-95444E1BB9CF}">
  <dimension ref="A1"/>
  <sheetViews>
    <sheetView tabSelected="1" workbookViewId="0">
      <selection activeCell="F30" sqref="F30"/>
    </sheetView>
  </sheetViews>
  <sheetFormatPr baseColWidth="10" defaultRowHeight="16"/>
  <sheetData>
    <row r="1" spans="1:1">
      <c r="A1" t="s">
        <v>373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12"/>
  <sheetViews>
    <sheetView workbookViewId="0">
      <selection activeCell="N15" sqref="N15"/>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9.83203125" style="150" bestFit="1" customWidth="1"/>
    <col min="13" max="13" width="8.83203125" style="150" bestFit="1" customWidth="1"/>
    <col min="14" max="14" width="11.6640625" style="150" bestFit="1" customWidth="1"/>
    <col min="15" max="16" width="10.6640625" style="150"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158</v>
      </c>
      <c r="M1" s="150" t="s">
        <v>159</v>
      </c>
      <c r="N1" s="150" t="s">
        <v>160</v>
      </c>
      <c r="O1" s="150" t="s">
        <v>161</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6">
        <v>967.02531497553002</v>
      </c>
      <c r="M4" s="156">
        <v>1363.8141644371899</v>
      </c>
      <c r="N4" s="156">
        <v>95.071262018754467</v>
      </c>
      <c r="O4" s="156">
        <v>83.637205156412179</v>
      </c>
      <c r="P4"/>
    </row>
    <row r="5" spans="1:16">
      <c r="A5" s="150" t="s">
        <v>120</v>
      </c>
      <c r="B5" s="150">
        <v>5</v>
      </c>
      <c r="C5" s="150">
        <v>5</v>
      </c>
      <c r="D5" s="150" t="s">
        <v>231</v>
      </c>
      <c r="E5" s="150" t="s">
        <v>231</v>
      </c>
      <c r="F5" s="150">
        <v>63</v>
      </c>
      <c r="G5" s="150" t="s">
        <v>234</v>
      </c>
      <c r="H5" s="150" t="s">
        <v>136</v>
      </c>
      <c r="I5" s="150" t="s">
        <v>239</v>
      </c>
      <c r="J5" s="150" t="s">
        <v>239</v>
      </c>
      <c r="K5" s="150" t="s">
        <v>284</v>
      </c>
      <c r="L5" s="156">
        <v>979.14966629690002</v>
      </c>
      <c r="M5" s="156">
        <v>1436.08910355628</v>
      </c>
      <c r="N5" s="156">
        <v>235.96796244254097</v>
      </c>
      <c r="O5" s="156">
        <v>92.21537357827448</v>
      </c>
      <c r="P5"/>
    </row>
    <row r="6" spans="1:16">
      <c r="A6" s="150" t="s">
        <v>120</v>
      </c>
      <c r="B6" s="150">
        <v>5</v>
      </c>
      <c r="C6" s="150">
        <v>5</v>
      </c>
      <c r="D6" s="150" t="s">
        <v>231</v>
      </c>
      <c r="E6" s="150" t="s">
        <v>231</v>
      </c>
      <c r="F6" s="150">
        <v>63</v>
      </c>
      <c r="G6" s="150" t="s">
        <v>234</v>
      </c>
      <c r="H6" s="150" t="s">
        <v>136</v>
      </c>
      <c r="I6" s="150" t="s">
        <v>239</v>
      </c>
      <c r="J6" s="150" t="s">
        <v>239</v>
      </c>
      <c r="K6" s="150" t="s">
        <v>284</v>
      </c>
      <c r="L6" s="156">
        <v>1079.9074496574201</v>
      </c>
      <c r="M6" s="156">
        <v>1494.33759706362</v>
      </c>
      <c r="N6" s="156">
        <v>84.134535062556196</v>
      </c>
      <c r="O6" s="156">
        <v>341.83250902689599</v>
      </c>
      <c r="P6"/>
    </row>
    <row r="7" spans="1:16">
      <c r="A7" s="150" t="s">
        <v>120</v>
      </c>
      <c r="B7" s="150">
        <v>5</v>
      </c>
      <c r="C7" s="150">
        <v>5</v>
      </c>
      <c r="D7" s="150" t="s">
        <v>231</v>
      </c>
      <c r="E7" s="150" t="s">
        <v>231</v>
      </c>
      <c r="F7" s="150">
        <v>63</v>
      </c>
      <c r="G7" s="150" t="s">
        <v>234</v>
      </c>
      <c r="H7" s="150" t="s">
        <v>136</v>
      </c>
      <c r="I7" s="150" t="s">
        <v>239</v>
      </c>
      <c r="J7" s="150" t="s">
        <v>239</v>
      </c>
      <c r="K7" s="150" t="s">
        <v>284</v>
      </c>
      <c r="L7" s="156">
        <v>974.10649526916802</v>
      </c>
      <c r="M7" s="156">
        <v>979.55247588907002</v>
      </c>
      <c r="N7" s="156">
        <v>58.826044415057609</v>
      </c>
      <c r="O7" s="156">
        <v>157.70917053354029</v>
      </c>
      <c r="P7"/>
    </row>
    <row r="8" spans="1:16">
      <c r="A8" s="150" t="s">
        <v>120</v>
      </c>
      <c r="B8" s="150">
        <v>5</v>
      </c>
      <c r="C8" s="150">
        <v>5</v>
      </c>
      <c r="D8" s="150" t="s">
        <v>231</v>
      </c>
      <c r="E8" s="150" t="s">
        <v>231</v>
      </c>
      <c r="F8" s="150">
        <v>63</v>
      </c>
      <c r="G8" s="150" t="s">
        <v>234</v>
      </c>
      <c r="H8" s="150" t="s">
        <v>136</v>
      </c>
      <c r="I8" s="150" t="s">
        <v>239</v>
      </c>
      <c r="J8" s="150" t="s">
        <v>239</v>
      </c>
      <c r="K8" s="150" t="s">
        <v>284</v>
      </c>
      <c r="L8" s="156">
        <v>815.67826303425795</v>
      </c>
      <c r="M8" s="156">
        <v>971.72559073409502</v>
      </c>
      <c r="N8" s="156">
        <v>100.38234930682671</v>
      </c>
      <c r="O8" s="156">
        <v>147.05872398653989</v>
      </c>
      <c r="P8"/>
    </row>
    <row r="9" spans="1:16">
      <c r="A9" s="150" t="s">
        <v>120</v>
      </c>
      <c r="B9" s="150">
        <v>5</v>
      </c>
      <c r="C9" s="150">
        <v>5</v>
      </c>
      <c r="D9" s="150" t="s">
        <v>231</v>
      </c>
      <c r="E9" s="150" t="s">
        <v>231</v>
      </c>
      <c r="F9" s="150">
        <v>63</v>
      </c>
      <c r="G9" s="150" t="s">
        <v>234</v>
      </c>
      <c r="H9" s="150" t="s">
        <v>136</v>
      </c>
      <c r="I9" s="150" t="s">
        <v>239</v>
      </c>
      <c r="J9" s="150" t="s">
        <v>239</v>
      </c>
      <c r="K9" s="150" t="s">
        <v>284</v>
      </c>
      <c r="L9" s="156">
        <v>922.32372345840099</v>
      </c>
      <c r="M9" s="156">
        <v>896.69870675367099</v>
      </c>
      <c r="N9" s="156">
        <v>85.860726153228015</v>
      </c>
      <c r="O9" s="156">
        <v>201.51099827280586</v>
      </c>
      <c r="P9"/>
    </row>
    <row r="10" spans="1:16">
      <c r="A10" s="150" t="s">
        <v>130</v>
      </c>
      <c r="B10" s="150">
        <v>6</v>
      </c>
      <c r="C10" s="150">
        <v>6</v>
      </c>
      <c r="D10" s="150" t="s">
        <v>231</v>
      </c>
      <c r="E10" s="150" t="s">
        <v>231</v>
      </c>
      <c r="F10" s="150">
        <v>63</v>
      </c>
      <c r="G10" s="150" t="s">
        <v>234</v>
      </c>
      <c r="H10" s="150" t="s">
        <v>136</v>
      </c>
      <c r="I10" s="150" t="s">
        <v>239</v>
      </c>
      <c r="J10" s="150" t="s">
        <v>239</v>
      </c>
      <c r="K10" s="150" t="s">
        <v>283</v>
      </c>
      <c r="L10" s="150">
        <v>847</v>
      </c>
      <c r="M10" s="150">
        <v>1298</v>
      </c>
      <c r="N10" s="156">
        <v>191.00225420426608</v>
      </c>
      <c r="O10" s="156">
        <v>195.4292035779485</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50">
        <v>3783</v>
      </c>
      <c r="M11" s="150">
        <v>4017</v>
      </c>
      <c r="N11" s="156">
        <v>688.37782342095909</v>
      </c>
      <c r="O11" s="156">
        <v>716.85472338852867</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50">
        <v>5067</v>
      </c>
      <c r="M12" s="150">
        <v>5250</v>
      </c>
      <c r="N12" s="156">
        <v>1465.4559396689876</v>
      </c>
      <c r="O12" s="156">
        <v>1529.6975463578851</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50">
        <v>3633</v>
      </c>
      <c r="M13" s="150">
        <v>3317</v>
      </c>
      <c r="N13" s="156">
        <v>1098.7126305110196</v>
      </c>
      <c r="O13" s="156">
        <v>762.82961910100062</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50" t="s">
        <v>132</v>
      </c>
      <c r="M21" s="150" t="s">
        <v>132</v>
      </c>
      <c r="N21" s="150" t="s">
        <v>132</v>
      </c>
      <c r="O21" s="150" t="s">
        <v>132</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50" t="s">
        <v>132</v>
      </c>
      <c r="M22" s="150" t="s">
        <v>132</v>
      </c>
      <c r="N22" s="150" t="s">
        <v>132</v>
      </c>
      <c r="O22" s="150" t="s">
        <v>132</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50" t="s">
        <v>132</v>
      </c>
      <c r="M23" s="150" t="s">
        <v>132</v>
      </c>
      <c r="N23" s="150" t="s">
        <v>132</v>
      </c>
      <c r="O23" s="150" t="s">
        <v>132</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50" t="s">
        <v>132</v>
      </c>
      <c r="M24" s="150" t="s">
        <v>132</v>
      </c>
      <c r="N24" s="150" t="s">
        <v>132</v>
      </c>
      <c r="O24" s="150" t="s">
        <v>132</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61">
        <v>1978.8023935321601</v>
      </c>
      <c r="M25" s="162">
        <v>3039.7</v>
      </c>
      <c r="N25" s="161">
        <v>437.30805855621998</v>
      </c>
      <c r="O25" s="150">
        <v>303.96999999999997</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50" t="s">
        <v>132</v>
      </c>
      <c r="M26" s="150" t="s">
        <v>132</v>
      </c>
      <c r="N26" s="150" t="s">
        <v>132</v>
      </c>
      <c r="O26" s="150" t="s">
        <v>132</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50" t="s">
        <v>132</v>
      </c>
      <c r="M27" s="150" t="s">
        <v>132</v>
      </c>
      <c r="N27" s="150" t="s">
        <v>132</v>
      </c>
      <c r="O27" s="150" t="s">
        <v>132</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50" t="s">
        <v>132</v>
      </c>
      <c r="M28" s="150" t="s">
        <v>132</v>
      </c>
      <c r="N28" s="150" t="s">
        <v>132</v>
      </c>
      <c r="O28" s="150" t="s">
        <v>132</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50" t="s">
        <v>132</v>
      </c>
      <c r="M29" s="150" t="s">
        <v>132</v>
      </c>
      <c r="N29" s="150" t="s">
        <v>132</v>
      </c>
      <c r="O29" s="150" t="s">
        <v>132</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68">
        <v>596</v>
      </c>
      <c r="M69" s="168">
        <v>1550</v>
      </c>
      <c r="N69" s="168">
        <v>186.76188047886004</v>
      </c>
      <c r="O69" s="168">
        <v>203.46989949375805</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68">
        <v>1676</v>
      </c>
      <c r="M70" s="168">
        <v>2098</v>
      </c>
      <c r="N70" s="168">
        <v>78.294316524253531</v>
      </c>
      <c r="O70" s="168">
        <v>124.57929201917949</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68">
        <v>3160</v>
      </c>
      <c r="M71" s="168">
        <v>3080</v>
      </c>
      <c r="N71" s="168">
        <v>296.64793948382652</v>
      </c>
      <c r="O71" s="168">
        <v>389.87177379235857</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68">
        <v>5100</v>
      </c>
      <c r="M72" s="168">
        <v>4040</v>
      </c>
      <c r="N72" s="168">
        <v>982.34413521942497</v>
      </c>
      <c r="O72" s="168">
        <v>250.99800796022265</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68">
        <v>6760</v>
      </c>
      <c r="M73" s="168">
        <v>4980</v>
      </c>
      <c r="N73" s="168">
        <v>634.82280992415508</v>
      </c>
      <c r="O73" s="168">
        <v>605.80524923443841</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68">
        <v>798</v>
      </c>
      <c r="M74" s="168">
        <v>1694</v>
      </c>
      <c r="N74" s="168">
        <v>133.30416347586447</v>
      </c>
      <c r="O74" s="168">
        <v>430.90602223686778</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68">
        <v>1500</v>
      </c>
      <c r="M75" s="168">
        <v>1950</v>
      </c>
      <c r="N75" s="168">
        <v>120.20815280171308</v>
      </c>
      <c r="O75" s="168">
        <v>96.695398029068585</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68">
        <v>2660</v>
      </c>
      <c r="M76" s="168">
        <v>2360</v>
      </c>
      <c r="N76" s="168">
        <v>114.0175425099138</v>
      </c>
      <c r="O76" s="168">
        <v>207.3644135332772</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68">
        <v>4460</v>
      </c>
      <c r="M77" s="168">
        <v>3760</v>
      </c>
      <c r="N77" s="168">
        <v>642.6507605223851</v>
      </c>
      <c r="O77" s="168">
        <v>350.71355833500365</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68">
        <v>7080</v>
      </c>
      <c r="M78" s="168">
        <v>5000</v>
      </c>
      <c r="N78" s="168">
        <v>420.71367935925258</v>
      </c>
      <c r="O78" s="168">
        <v>632.45553203367592</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1">
        <v>714</v>
      </c>
      <c r="M79" s="171">
        <v>1434</v>
      </c>
      <c r="N79" s="171">
        <v>93.968079686668062</v>
      </c>
      <c r="O79" s="171">
        <v>361.84250717681027</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1">
        <v>712</v>
      </c>
      <c r="M80" s="171">
        <v>1516</v>
      </c>
      <c r="N80" s="171">
        <v>57.18391382198319</v>
      </c>
      <c r="O80" s="171">
        <v>70.569115057509407</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1">
        <v>832</v>
      </c>
      <c r="M81" s="171">
        <v>1740</v>
      </c>
      <c r="N81" s="171">
        <v>88.713020464867498</v>
      </c>
      <c r="O81" s="171">
        <v>224.61077445216202</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1">
        <v>848</v>
      </c>
      <c r="M82" s="171">
        <v>1490</v>
      </c>
      <c r="N82" s="171">
        <v>29.49576240750525</v>
      </c>
      <c r="O82" s="171">
        <v>131.33925536563697</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1">
        <v>748</v>
      </c>
      <c r="M83" s="171">
        <v>1196</v>
      </c>
      <c r="N83" s="171">
        <v>113.44602240713422</v>
      </c>
      <c r="O83" s="171">
        <v>142.23220451079285</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1">
        <v>1096</v>
      </c>
      <c r="M84" s="171">
        <v>1160</v>
      </c>
      <c r="N84" s="171">
        <v>114.80418110852932</v>
      </c>
      <c r="O84" s="171">
        <v>48.47679857416329</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1">
        <v>1142</v>
      </c>
      <c r="M85" s="171">
        <v>1058</v>
      </c>
      <c r="N85" s="171">
        <v>132.92855223765886</v>
      </c>
      <c r="O85" s="171">
        <v>76.615925237511817</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1">
        <v>1058</v>
      </c>
      <c r="M86" s="171">
        <v>1270</v>
      </c>
      <c r="N86" s="171">
        <v>122.14745187681976</v>
      </c>
      <c r="O86" s="171">
        <v>92.466210044534648</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1">
        <v>1238</v>
      </c>
      <c r="M87" s="171">
        <v>1206</v>
      </c>
      <c r="N87" s="171">
        <v>126.37246535539299</v>
      </c>
      <c r="O87" s="171">
        <v>103.3440854621105</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1">
        <v>1164</v>
      </c>
      <c r="M88" s="171">
        <v>1200</v>
      </c>
      <c r="N88" s="171">
        <v>79.246451024635803</v>
      </c>
      <c r="O88" s="171">
        <v>149.16433890176299</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6">
        <v>1160</v>
      </c>
      <c r="M89" s="176">
        <v>1494</v>
      </c>
      <c r="N89" s="167">
        <v>22.360679774997898</v>
      </c>
      <c r="O89" s="167">
        <v>156.62056059151365</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6">
        <v>1132</v>
      </c>
      <c r="M90" s="176">
        <v>1592</v>
      </c>
      <c r="N90" s="167">
        <v>66.858058601787121</v>
      </c>
      <c r="O90" s="167">
        <v>55.407580708780273</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6">
        <v>1080</v>
      </c>
      <c r="M91" s="176">
        <v>1420</v>
      </c>
      <c r="N91" s="167">
        <v>86.313382508160345</v>
      </c>
      <c r="O91" s="167">
        <v>79.686887252546143</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6">
        <v>1158</v>
      </c>
      <c r="M92" s="176">
        <v>1536</v>
      </c>
      <c r="N92" s="167">
        <v>61.400325732035007</v>
      </c>
      <c r="O92" s="167">
        <v>68.774995456197601</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6">
        <v>1062</v>
      </c>
      <c r="M93" s="176">
        <v>1456</v>
      </c>
      <c r="N93" s="167">
        <v>74.966659255965254</v>
      </c>
      <c r="O93" s="167">
        <v>37.148351242013419</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6">
        <v>1204</v>
      </c>
      <c r="M94" s="176">
        <v>1568</v>
      </c>
      <c r="N94" s="167">
        <v>29.664793948382652</v>
      </c>
      <c r="O94" s="167">
        <v>96.280839215287273</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row r="101" spans="1:16">
      <c r="M101" s="152"/>
      <c r="O101" s="152"/>
      <c r="P101" s="152"/>
    </row>
    <row r="102" spans="1:16">
      <c r="M102" s="152"/>
      <c r="O102" s="152"/>
      <c r="P102" s="152"/>
    </row>
    <row r="103" spans="1:16">
      <c r="M103" s="152"/>
      <c r="O103" s="152"/>
      <c r="P103" s="152"/>
    </row>
    <row r="104" spans="1:16">
      <c r="M104" s="152"/>
      <c r="O104" s="152"/>
      <c r="P104" s="152"/>
    </row>
    <row r="105" spans="1:16">
      <c r="M105" s="152"/>
      <c r="O105" s="152"/>
      <c r="P105" s="152"/>
    </row>
    <row r="107" spans="1:16">
      <c r="M107" s="152"/>
      <c r="O107" s="152"/>
      <c r="P107" s="152"/>
    </row>
    <row r="108" spans="1:16">
      <c r="M108" s="152"/>
      <c r="O108" s="152"/>
      <c r="P108" s="152"/>
    </row>
    <row r="109" spans="1:16">
      <c r="M109" s="152"/>
      <c r="O109" s="152"/>
      <c r="P109" s="152"/>
    </row>
    <row r="110" spans="1:16">
      <c r="M110" s="152"/>
      <c r="O110" s="152"/>
      <c r="P110" s="152"/>
    </row>
    <row r="111" spans="1:16">
      <c r="M111" s="152"/>
      <c r="O111" s="152"/>
      <c r="P111" s="152"/>
    </row>
    <row r="112" spans="1:16">
      <c r="M112" s="152"/>
      <c r="O112" s="152"/>
      <c r="P112" s="152"/>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00"/>
  <sheetViews>
    <sheetView workbookViewId="0">
      <selection activeCell="I27" sqref="I27"/>
    </sheetView>
  </sheetViews>
  <sheetFormatPr baseColWidth="10" defaultRowHeight="16"/>
  <cols>
    <col min="1" max="1" width="10.83203125" style="152"/>
    <col min="2" max="2" width="15.6640625" style="150" customWidth="1"/>
    <col min="3" max="3" width="7.1640625" style="150" customWidth="1"/>
    <col min="4" max="4" width="8" style="150" customWidth="1"/>
    <col min="5" max="6" width="12" style="150" bestFit="1" customWidth="1"/>
    <col min="7" max="9" width="11.5" style="150" customWidth="1"/>
    <col min="10" max="10" width="11.5" style="152" customWidth="1"/>
    <col min="11" max="12" width="14.33203125" style="152" customWidth="1"/>
    <col min="13" max="13" width="12" style="150" bestFit="1" customWidth="1"/>
    <col min="14" max="14" width="11" style="150" bestFit="1" customWidth="1"/>
    <col min="15" max="15" width="13.83203125" style="150" bestFit="1" customWidth="1"/>
    <col min="16" max="16" width="12.83203125" style="150" bestFit="1" customWidth="1"/>
  </cols>
  <sheetData>
    <row r="1" spans="1:16">
      <c r="A1" s="152" t="s">
        <v>170</v>
      </c>
      <c r="B1" s="150" t="s">
        <v>112</v>
      </c>
      <c r="C1" s="150" t="s">
        <v>113</v>
      </c>
      <c r="D1" s="150" t="s">
        <v>114</v>
      </c>
      <c r="E1" s="150" t="s">
        <v>225</v>
      </c>
      <c r="F1" s="150" t="s">
        <v>232</v>
      </c>
      <c r="G1" s="150" t="s">
        <v>226</v>
      </c>
      <c r="H1" s="150" t="s">
        <v>236</v>
      </c>
      <c r="I1" s="150" t="s">
        <v>170</v>
      </c>
      <c r="J1" s="150" t="s">
        <v>237</v>
      </c>
      <c r="K1" s="150" t="s">
        <v>238</v>
      </c>
      <c r="L1" s="150" t="s">
        <v>286</v>
      </c>
      <c r="M1" s="150" t="s">
        <v>162</v>
      </c>
      <c r="N1" s="150" t="s">
        <v>163</v>
      </c>
      <c r="O1" s="150" t="s">
        <v>164</v>
      </c>
      <c r="P1" s="150" t="s">
        <v>165</v>
      </c>
    </row>
    <row r="2" spans="1:16">
      <c r="A2" s="152">
        <v>1</v>
      </c>
      <c r="B2" s="150" t="s">
        <v>119</v>
      </c>
      <c r="C2" s="150">
        <v>3</v>
      </c>
      <c r="D2" s="150">
        <v>3</v>
      </c>
      <c r="E2" s="150" t="s">
        <v>233</v>
      </c>
      <c r="F2" s="150" t="s">
        <v>229</v>
      </c>
      <c r="G2" s="150">
        <v>42</v>
      </c>
      <c r="H2" s="150" t="s">
        <v>234</v>
      </c>
      <c r="I2" s="150" t="s">
        <v>136</v>
      </c>
      <c r="J2" s="150" t="s">
        <v>132</v>
      </c>
      <c r="K2" s="150" t="s">
        <v>132</v>
      </c>
      <c r="L2" s="150" t="s">
        <v>132</v>
      </c>
      <c r="M2" s="150" t="s">
        <v>132</v>
      </c>
      <c r="N2" s="150" t="s">
        <v>132</v>
      </c>
      <c r="O2" s="150" t="s">
        <v>132</v>
      </c>
      <c r="P2" s="150" t="s">
        <v>132</v>
      </c>
    </row>
    <row r="3" spans="1:16">
      <c r="A3" s="152">
        <v>2</v>
      </c>
      <c r="B3" s="150" t="s">
        <v>119</v>
      </c>
      <c r="C3" s="150">
        <v>3</v>
      </c>
      <c r="D3" s="150">
        <v>3</v>
      </c>
      <c r="E3" s="150" t="s">
        <v>233</v>
      </c>
      <c r="F3" s="150" t="s">
        <v>229</v>
      </c>
      <c r="G3" s="150">
        <v>42</v>
      </c>
      <c r="H3" s="150" t="s">
        <v>234</v>
      </c>
      <c r="I3" s="150" t="s">
        <v>136</v>
      </c>
      <c r="J3" s="150" t="s">
        <v>132</v>
      </c>
      <c r="K3" s="150" t="s">
        <v>132</v>
      </c>
      <c r="L3" s="150" t="s">
        <v>132</v>
      </c>
      <c r="M3" s="150" t="s">
        <v>132</v>
      </c>
      <c r="N3" s="150" t="s">
        <v>132</v>
      </c>
      <c r="O3" s="150" t="s">
        <v>132</v>
      </c>
      <c r="P3" s="150" t="s">
        <v>132</v>
      </c>
    </row>
    <row r="4" spans="1:16">
      <c r="A4" s="152">
        <v>3</v>
      </c>
      <c r="B4" s="150" t="s">
        <v>120</v>
      </c>
      <c r="C4" s="150">
        <v>5</v>
      </c>
      <c r="D4" s="150">
        <v>5</v>
      </c>
      <c r="E4" s="150" t="s">
        <v>231</v>
      </c>
      <c r="F4" s="150" t="s">
        <v>231</v>
      </c>
      <c r="G4" s="150">
        <v>63</v>
      </c>
      <c r="H4" s="150" t="s">
        <v>234</v>
      </c>
      <c r="I4" s="150" t="s">
        <v>136</v>
      </c>
      <c r="J4" s="150" t="s">
        <v>239</v>
      </c>
      <c r="K4" s="150" t="s">
        <v>239</v>
      </c>
      <c r="L4" s="150" t="s">
        <v>284</v>
      </c>
      <c r="M4" s="156">
        <v>38.054290263999995</v>
      </c>
      <c r="N4" s="156">
        <v>45.613149638000003</v>
      </c>
      <c r="O4" s="156">
        <v>2.7834398252049422</v>
      </c>
      <c r="P4" s="156">
        <v>3.9890457805960975</v>
      </c>
    </row>
    <row r="5" spans="1:16">
      <c r="A5" s="152">
        <v>4</v>
      </c>
      <c r="B5" s="150" t="s">
        <v>120</v>
      </c>
      <c r="C5" s="150">
        <v>5</v>
      </c>
      <c r="D5" s="150">
        <v>5</v>
      </c>
      <c r="E5" s="150" t="s">
        <v>231</v>
      </c>
      <c r="F5" s="150" t="s">
        <v>231</v>
      </c>
      <c r="G5" s="150">
        <v>63</v>
      </c>
      <c r="H5" s="150" t="s">
        <v>234</v>
      </c>
      <c r="I5" s="150" t="s">
        <v>136</v>
      </c>
      <c r="J5" s="150" t="s">
        <v>239</v>
      </c>
      <c r="K5" s="150" t="s">
        <v>239</v>
      </c>
      <c r="L5" s="150" t="s">
        <v>284</v>
      </c>
      <c r="M5" s="156">
        <v>168.10910052</v>
      </c>
      <c r="N5" s="156">
        <v>143.38548682000001</v>
      </c>
      <c r="O5" s="156">
        <v>5.226322840856886</v>
      </c>
      <c r="P5" s="156">
        <v>10.047487490289644</v>
      </c>
    </row>
    <row r="6" spans="1:16">
      <c r="A6" s="152">
        <v>5</v>
      </c>
      <c r="B6" s="150" t="s">
        <v>120</v>
      </c>
      <c r="C6" s="150">
        <v>5</v>
      </c>
      <c r="D6" s="150">
        <v>5</v>
      </c>
      <c r="E6" s="150" t="s">
        <v>231</v>
      </c>
      <c r="F6" s="150" t="s">
        <v>231</v>
      </c>
      <c r="G6" s="150">
        <v>63</v>
      </c>
      <c r="H6" s="150" t="s">
        <v>234</v>
      </c>
      <c r="I6" s="150" t="s">
        <v>136</v>
      </c>
      <c r="J6" s="150" t="s">
        <v>239</v>
      </c>
      <c r="K6" s="150" t="s">
        <v>239</v>
      </c>
      <c r="L6" s="150" t="s">
        <v>284</v>
      </c>
      <c r="M6" s="156">
        <v>332.24146712000004</v>
      </c>
      <c r="N6" s="156">
        <v>293.99404414000003</v>
      </c>
      <c r="O6" s="156">
        <v>24.85167417524206</v>
      </c>
      <c r="P6" s="156">
        <v>34.681824344868502</v>
      </c>
    </row>
    <row r="7" spans="1:16">
      <c r="A7" s="152">
        <v>6</v>
      </c>
      <c r="B7" s="150" t="s">
        <v>120</v>
      </c>
      <c r="C7" s="150">
        <v>5</v>
      </c>
      <c r="D7" s="150">
        <v>5</v>
      </c>
      <c r="E7" s="150" t="s">
        <v>231</v>
      </c>
      <c r="F7" s="150" t="s">
        <v>231</v>
      </c>
      <c r="G7" s="150">
        <v>63</v>
      </c>
      <c r="H7" s="150" t="s">
        <v>234</v>
      </c>
      <c r="I7" s="150" t="s">
        <v>136</v>
      </c>
      <c r="J7" s="150" t="s">
        <v>239</v>
      </c>
      <c r="K7" s="150" t="s">
        <v>239</v>
      </c>
      <c r="L7" s="150" t="s">
        <v>284</v>
      </c>
      <c r="M7" s="156">
        <v>18.018644462000001</v>
      </c>
      <c r="N7" s="156">
        <v>15.198875348000001</v>
      </c>
      <c r="O7" s="156">
        <v>4.2038888055355832</v>
      </c>
      <c r="P7" s="156">
        <v>2.0851156719216388</v>
      </c>
    </row>
    <row r="8" spans="1:16">
      <c r="A8" s="152">
        <v>7</v>
      </c>
      <c r="B8" s="150" t="s">
        <v>120</v>
      </c>
      <c r="C8" s="150">
        <v>5</v>
      </c>
      <c r="D8" s="150">
        <v>5</v>
      </c>
      <c r="E8" s="150" t="s">
        <v>231</v>
      </c>
      <c r="F8" s="150" t="s">
        <v>231</v>
      </c>
      <c r="G8" s="150">
        <v>63</v>
      </c>
      <c r="H8" s="150" t="s">
        <v>234</v>
      </c>
      <c r="I8" s="150" t="s">
        <v>136</v>
      </c>
      <c r="J8" s="150" t="s">
        <v>239</v>
      </c>
      <c r="K8" s="150" t="s">
        <v>239</v>
      </c>
      <c r="L8" s="150" t="s">
        <v>284</v>
      </c>
      <c r="M8" s="156">
        <v>152.12942614000002</v>
      </c>
      <c r="N8" s="156">
        <v>139.49856851999999</v>
      </c>
      <c r="O8" s="156">
        <v>30.204350310697272</v>
      </c>
      <c r="P8" s="156">
        <v>9.9413320297655954</v>
      </c>
    </row>
    <row r="9" spans="1:16">
      <c r="A9" s="152">
        <v>8</v>
      </c>
      <c r="B9" s="150" t="s">
        <v>120</v>
      </c>
      <c r="C9" s="150">
        <v>5</v>
      </c>
      <c r="D9" s="150">
        <v>5</v>
      </c>
      <c r="E9" s="150" t="s">
        <v>231</v>
      </c>
      <c r="F9" s="150" t="s">
        <v>231</v>
      </c>
      <c r="G9" s="150">
        <v>63</v>
      </c>
      <c r="H9" s="150" t="s">
        <v>234</v>
      </c>
      <c r="I9" s="150" t="s">
        <v>136</v>
      </c>
      <c r="J9" s="150" t="s">
        <v>239</v>
      </c>
      <c r="K9" s="150" t="s">
        <v>239</v>
      </c>
      <c r="L9" s="150" t="s">
        <v>284</v>
      </c>
      <c r="M9" s="156">
        <v>423.13597854</v>
      </c>
      <c r="N9" s="156">
        <v>314.0731629</v>
      </c>
      <c r="O9" s="156">
        <v>84.605412481741169</v>
      </c>
      <c r="P9" s="156">
        <v>50.076377057162311</v>
      </c>
    </row>
    <row r="10" spans="1:16">
      <c r="A10" s="152">
        <v>9</v>
      </c>
      <c r="B10" s="150" t="s">
        <v>130</v>
      </c>
      <c r="C10" s="150">
        <v>6</v>
      </c>
      <c r="D10" s="150">
        <v>6</v>
      </c>
      <c r="E10" s="150" t="s">
        <v>231</v>
      </c>
      <c r="F10" s="150" t="s">
        <v>231</v>
      </c>
      <c r="G10" s="150">
        <v>63</v>
      </c>
      <c r="H10" s="150" t="s">
        <v>234</v>
      </c>
      <c r="I10" s="150" t="s">
        <v>136</v>
      </c>
      <c r="J10" s="150" t="s">
        <v>239</v>
      </c>
      <c r="K10" s="150" t="s">
        <v>239</v>
      </c>
      <c r="L10" s="150" t="s">
        <v>283</v>
      </c>
      <c r="M10" s="150">
        <v>114</v>
      </c>
      <c r="N10" s="150">
        <v>92</v>
      </c>
      <c r="O10" s="156">
        <v>24.019379357289218</v>
      </c>
      <c r="P10" s="156">
        <v>24.253514967612105</v>
      </c>
    </row>
    <row r="11" spans="1:16">
      <c r="A11" s="152">
        <v>10</v>
      </c>
      <c r="B11" s="150" t="s">
        <v>130</v>
      </c>
      <c r="C11" s="150">
        <v>6</v>
      </c>
      <c r="D11" s="150">
        <v>6</v>
      </c>
      <c r="E11" s="150" t="s">
        <v>231</v>
      </c>
      <c r="F11" s="150" t="s">
        <v>231</v>
      </c>
      <c r="G11" s="150">
        <v>63</v>
      </c>
      <c r="H11" s="150" t="s">
        <v>234</v>
      </c>
      <c r="I11" s="150" t="s">
        <v>136</v>
      </c>
      <c r="J11" s="150" t="s">
        <v>239</v>
      </c>
      <c r="K11" s="150" t="s">
        <v>239</v>
      </c>
      <c r="L11" s="150" t="s">
        <v>283</v>
      </c>
      <c r="M11" s="150">
        <v>48</v>
      </c>
      <c r="N11" s="150">
        <v>50</v>
      </c>
      <c r="O11" s="156">
        <v>14.769189662897761</v>
      </c>
      <c r="P11" s="156">
        <v>13.446900112768091</v>
      </c>
    </row>
    <row r="12" spans="1:16">
      <c r="A12" s="152">
        <v>11</v>
      </c>
      <c r="B12" s="150" t="s">
        <v>130</v>
      </c>
      <c r="C12" s="150">
        <v>6</v>
      </c>
      <c r="D12" s="150">
        <v>6</v>
      </c>
      <c r="E12" s="150" t="s">
        <v>231</v>
      </c>
      <c r="F12" s="150" t="s">
        <v>231</v>
      </c>
      <c r="G12" s="150">
        <v>63</v>
      </c>
      <c r="H12" s="150" t="s">
        <v>234</v>
      </c>
      <c r="I12" s="150" t="s">
        <v>136</v>
      </c>
      <c r="J12" s="150" t="s">
        <v>239</v>
      </c>
      <c r="K12" s="150" t="s">
        <v>239</v>
      </c>
      <c r="L12" s="150" t="s">
        <v>283</v>
      </c>
      <c r="M12" s="150">
        <v>53</v>
      </c>
      <c r="N12" s="150">
        <v>47</v>
      </c>
      <c r="O12" s="156">
        <v>14.069804143064999</v>
      </c>
      <c r="P12" s="156">
        <v>6.288254017389205</v>
      </c>
    </row>
    <row r="13" spans="1:16">
      <c r="A13" s="152">
        <v>12</v>
      </c>
      <c r="B13" s="150" t="s">
        <v>130</v>
      </c>
      <c r="C13" s="150">
        <v>6</v>
      </c>
      <c r="D13" s="150">
        <v>6</v>
      </c>
      <c r="E13" s="150" t="s">
        <v>231</v>
      </c>
      <c r="F13" s="150" t="s">
        <v>231</v>
      </c>
      <c r="G13" s="150">
        <v>63</v>
      </c>
      <c r="H13" s="150" t="s">
        <v>234</v>
      </c>
      <c r="I13" s="150" t="s">
        <v>136</v>
      </c>
      <c r="J13" s="150" t="s">
        <v>239</v>
      </c>
      <c r="K13" s="150" t="s">
        <v>240</v>
      </c>
      <c r="L13" s="150" t="s">
        <v>284</v>
      </c>
      <c r="M13" s="150">
        <v>24</v>
      </c>
      <c r="N13" s="150">
        <v>30</v>
      </c>
      <c r="O13" s="156">
        <v>3.0240102865584011</v>
      </c>
      <c r="P13" s="156">
        <v>10.267227766731901</v>
      </c>
    </row>
    <row r="14" spans="1:16">
      <c r="A14" s="152">
        <v>13</v>
      </c>
      <c r="B14" s="150" t="s">
        <v>131</v>
      </c>
      <c r="C14" s="150">
        <v>3</v>
      </c>
      <c r="D14" s="150">
        <v>3</v>
      </c>
      <c r="E14" s="150" t="s">
        <v>233</v>
      </c>
      <c r="F14" s="150" t="s">
        <v>228</v>
      </c>
      <c r="G14" s="150">
        <v>58</v>
      </c>
      <c r="H14" s="150" t="s">
        <v>234</v>
      </c>
      <c r="I14" s="150" t="s">
        <v>136</v>
      </c>
      <c r="J14" s="150" t="s">
        <v>132</v>
      </c>
      <c r="K14" s="150" t="s">
        <v>132</v>
      </c>
      <c r="L14" s="150" t="s">
        <v>284</v>
      </c>
      <c r="M14" s="150" t="s">
        <v>132</v>
      </c>
      <c r="N14" s="150" t="s">
        <v>132</v>
      </c>
      <c r="O14" s="150" t="s">
        <v>132</v>
      </c>
      <c r="P14" s="150" t="s">
        <v>132</v>
      </c>
    </row>
    <row r="15" spans="1:16">
      <c r="A15" s="152">
        <v>14</v>
      </c>
      <c r="B15" s="150" t="s">
        <v>131</v>
      </c>
      <c r="C15" s="150">
        <v>3</v>
      </c>
      <c r="D15" s="150">
        <v>3</v>
      </c>
      <c r="E15" s="150" t="s">
        <v>233</v>
      </c>
      <c r="F15" s="150" t="s">
        <v>229</v>
      </c>
      <c r="G15" s="150">
        <v>58</v>
      </c>
      <c r="H15" s="150" t="s">
        <v>234</v>
      </c>
      <c r="I15" s="150" t="s">
        <v>136</v>
      </c>
      <c r="J15" s="150" t="s">
        <v>132</v>
      </c>
      <c r="K15" s="150" t="s">
        <v>132</v>
      </c>
      <c r="L15" s="150" t="s">
        <v>284</v>
      </c>
      <c r="M15" s="150" t="s">
        <v>132</v>
      </c>
      <c r="N15" s="150" t="s">
        <v>132</v>
      </c>
      <c r="O15" s="150" t="s">
        <v>132</v>
      </c>
      <c r="P15" s="150" t="s">
        <v>132</v>
      </c>
    </row>
    <row r="16" spans="1:16">
      <c r="A16" s="152">
        <v>15</v>
      </c>
      <c r="B16" s="150" t="s">
        <v>131</v>
      </c>
      <c r="C16" s="150">
        <v>3</v>
      </c>
      <c r="D16" s="150">
        <v>3</v>
      </c>
      <c r="E16" s="150" t="s">
        <v>233</v>
      </c>
      <c r="F16" s="150" t="s">
        <v>229</v>
      </c>
      <c r="G16" s="150">
        <v>58</v>
      </c>
      <c r="H16" s="150" t="s">
        <v>234</v>
      </c>
      <c r="I16" s="150" t="s">
        <v>136</v>
      </c>
      <c r="J16" s="150" t="s">
        <v>132</v>
      </c>
      <c r="K16" s="150" t="s">
        <v>132</v>
      </c>
      <c r="L16" s="150" t="s">
        <v>284</v>
      </c>
      <c r="M16" s="150" t="s">
        <v>132</v>
      </c>
      <c r="N16" s="150" t="s">
        <v>132</v>
      </c>
      <c r="O16" s="150" t="s">
        <v>132</v>
      </c>
      <c r="P16" s="150" t="s">
        <v>132</v>
      </c>
    </row>
    <row r="17" spans="1:16">
      <c r="A17" s="152">
        <v>16</v>
      </c>
      <c r="B17" s="150" t="s">
        <v>131</v>
      </c>
      <c r="C17" s="150">
        <v>3</v>
      </c>
      <c r="D17" s="150">
        <v>3</v>
      </c>
      <c r="E17" s="150" t="s">
        <v>233</v>
      </c>
      <c r="F17" s="150" t="s">
        <v>229</v>
      </c>
      <c r="G17" s="150">
        <v>58</v>
      </c>
      <c r="H17" s="150" t="s">
        <v>234</v>
      </c>
      <c r="I17" s="150" t="s">
        <v>136</v>
      </c>
      <c r="J17" s="150" t="s">
        <v>132</v>
      </c>
      <c r="K17" s="150" t="s">
        <v>132</v>
      </c>
      <c r="L17" s="150" t="s">
        <v>283</v>
      </c>
      <c r="M17" s="150" t="s">
        <v>132</v>
      </c>
      <c r="N17" s="150" t="s">
        <v>132</v>
      </c>
      <c r="O17" s="150" t="s">
        <v>132</v>
      </c>
      <c r="P17" s="150" t="s">
        <v>132</v>
      </c>
    </row>
    <row r="18" spans="1:16">
      <c r="A18" s="152">
        <v>17</v>
      </c>
      <c r="B18" s="150" t="s">
        <v>131</v>
      </c>
      <c r="C18" s="150">
        <v>3</v>
      </c>
      <c r="D18" s="150">
        <v>3</v>
      </c>
      <c r="E18" s="150" t="s">
        <v>233</v>
      </c>
      <c r="F18" s="150" t="s">
        <v>229</v>
      </c>
      <c r="G18" s="150">
        <v>58</v>
      </c>
      <c r="H18" s="150" t="s">
        <v>234</v>
      </c>
      <c r="I18" s="150" t="s">
        <v>136</v>
      </c>
      <c r="J18" s="150" t="s">
        <v>132</v>
      </c>
      <c r="K18" s="150" t="s">
        <v>132</v>
      </c>
      <c r="L18" s="150" t="s">
        <v>283</v>
      </c>
      <c r="M18" s="150" t="s">
        <v>132</v>
      </c>
      <c r="N18" s="150" t="s">
        <v>132</v>
      </c>
      <c r="O18" s="150" t="s">
        <v>132</v>
      </c>
      <c r="P18" s="150" t="s">
        <v>132</v>
      </c>
    </row>
    <row r="19" spans="1:16">
      <c r="A19" s="152">
        <v>18</v>
      </c>
      <c r="B19" s="150" t="s">
        <v>131</v>
      </c>
      <c r="C19" s="150">
        <v>3</v>
      </c>
      <c r="D19" s="150">
        <v>3</v>
      </c>
      <c r="E19" s="150" t="s">
        <v>233</v>
      </c>
      <c r="F19" s="150" t="s">
        <v>230</v>
      </c>
      <c r="G19" s="150">
        <v>58</v>
      </c>
      <c r="H19" s="150" t="s">
        <v>234</v>
      </c>
      <c r="I19" s="150" t="s">
        <v>136</v>
      </c>
      <c r="J19" s="150" t="s">
        <v>132</v>
      </c>
      <c r="K19" s="150" t="s">
        <v>132</v>
      </c>
      <c r="L19" s="150" t="s">
        <v>284</v>
      </c>
      <c r="M19" s="150" t="s">
        <v>132</v>
      </c>
      <c r="N19" s="150" t="s">
        <v>132</v>
      </c>
      <c r="O19" s="150" t="s">
        <v>132</v>
      </c>
      <c r="P19" s="150" t="s">
        <v>132</v>
      </c>
    </row>
    <row r="20" spans="1:16">
      <c r="A20" s="152">
        <v>19</v>
      </c>
      <c r="B20" s="150" t="s">
        <v>153</v>
      </c>
      <c r="C20" s="150">
        <v>4</v>
      </c>
      <c r="D20" s="150">
        <v>4</v>
      </c>
      <c r="E20" s="150" t="s">
        <v>233</v>
      </c>
      <c r="F20" s="150" t="s">
        <v>229</v>
      </c>
      <c r="G20" s="150">
        <v>63</v>
      </c>
      <c r="H20" s="150" t="s">
        <v>234</v>
      </c>
      <c r="I20" s="150" t="s">
        <v>136</v>
      </c>
      <c r="J20" s="150" t="s">
        <v>240</v>
      </c>
      <c r="K20" s="150" t="s">
        <v>132</v>
      </c>
      <c r="L20" s="150" t="s">
        <v>284</v>
      </c>
      <c r="M20" s="150" t="s">
        <v>132</v>
      </c>
      <c r="N20" s="150" t="s">
        <v>132</v>
      </c>
      <c r="O20" s="150" t="s">
        <v>132</v>
      </c>
      <c r="P20" s="150" t="s">
        <v>132</v>
      </c>
    </row>
    <row r="21" spans="1:16">
      <c r="A21" s="152">
        <v>20</v>
      </c>
      <c r="B21" s="150" t="s">
        <v>133</v>
      </c>
      <c r="C21" s="150">
        <v>8</v>
      </c>
      <c r="D21" s="150">
        <v>8</v>
      </c>
      <c r="E21" s="150" t="s">
        <v>231</v>
      </c>
      <c r="F21" s="150" t="s">
        <v>231</v>
      </c>
      <c r="G21" s="150">
        <v>63</v>
      </c>
      <c r="H21" s="150" t="s">
        <v>234</v>
      </c>
      <c r="I21" s="150" t="s">
        <v>137</v>
      </c>
      <c r="J21" s="150" t="s">
        <v>240</v>
      </c>
      <c r="K21" s="151" t="s">
        <v>241</v>
      </c>
      <c r="L21" s="150" t="s">
        <v>284</v>
      </c>
      <c r="M21" s="152">
        <v>41</v>
      </c>
      <c r="N21" s="152">
        <v>65</v>
      </c>
      <c r="O21" s="152">
        <v>6</v>
      </c>
      <c r="P21" s="152">
        <v>2</v>
      </c>
    </row>
    <row r="22" spans="1:16">
      <c r="A22" s="152">
        <v>21</v>
      </c>
      <c r="B22" s="150" t="s">
        <v>133</v>
      </c>
      <c r="C22" s="150">
        <v>8</v>
      </c>
      <c r="D22" s="150">
        <v>8</v>
      </c>
      <c r="E22" s="150" t="s">
        <v>231</v>
      </c>
      <c r="F22" s="150" t="s">
        <v>231</v>
      </c>
      <c r="G22" s="150">
        <v>63</v>
      </c>
      <c r="H22" s="150" t="s">
        <v>234</v>
      </c>
      <c r="I22" s="150" t="s">
        <v>137</v>
      </c>
      <c r="J22" s="150" t="s">
        <v>239</v>
      </c>
      <c r="K22" s="151" t="s">
        <v>241</v>
      </c>
      <c r="L22" s="150" t="s">
        <v>284</v>
      </c>
      <c r="M22" s="152">
        <v>44</v>
      </c>
      <c r="N22" s="152">
        <v>77</v>
      </c>
      <c r="O22" s="152">
        <v>0.2</v>
      </c>
      <c r="P22" s="152">
        <v>24</v>
      </c>
    </row>
    <row r="23" spans="1:16">
      <c r="A23" s="152">
        <v>22</v>
      </c>
      <c r="B23" s="150" t="s">
        <v>133</v>
      </c>
      <c r="C23" s="150">
        <v>8</v>
      </c>
      <c r="D23" s="150">
        <v>8</v>
      </c>
      <c r="E23" s="150" t="s">
        <v>231</v>
      </c>
      <c r="F23" s="150" t="s">
        <v>231</v>
      </c>
      <c r="G23" s="150">
        <v>63</v>
      </c>
      <c r="H23" s="150" t="s">
        <v>234</v>
      </c>
      <c r="I23" s="150" t="s">
        <v>137</v>
      </c>
      <c r="J23" s="150" t="s">
        <v>240</v>
      </c>
      <c r="K23" s="151" t="s">
        <v>241</v>
      </c>
      <c r="L23" s="150" t="s">
        <v>284</v>
      </c>
      <c r="M23" s="152">
        <v>43</v>
      </c>
      <c r="N23" s="152">
        <v>64</v>
      </c>
      <c r="O23" s="152">
        <v>4</v>
      </c>
      <c r="P23" s="152">
        <v>2</v>
      </c>
    </row>
    <row r="24" spans="1:16">
      <c r="A24" s="152">
        <v>23</v>
      </c>
      <c r="B24" s="150" t="s">
        <v>133</v>
      </c>
      <c r="C24" s="150">
        <v>8</v>
      </c>
      <c r="D24" s="150">
        <v>8</v>
      </c>
      <c r="E24" s="150" t="s">
        <v>231</v>
      </c>
      <c r="F24" s="150" t="s">
        <v>231</v>
      </c>
      <c r="G24" s="150">
        <v>63</v>
      </c>
      <c r="H24" s="150" t="s">
        <v>234</v>
      </c>
      <c r="I24" s="150" t="s">
        <v>137</v>
      </c>
      <c r="J24" s="150" t="s">
        <v>239</v>
      </c>
      <c r="K24" s="151" t="s">
        <v>241</v>
      </c>
      <c r="L24" s="150" t="s">
        <v>284</v>
      </c>
      <c r="M24" s="152">
        <v>42</v>
      </c>
      <c r="N24" s="152">
        <v>55</v>
      </c>
      <c r="O24" s="152">
        <v>8</v>
      </c>
      <c r="P24" s="152">
        <v>8</v>
      </c>
    </row>
    <row r="25" spans="1:16">
      <c r="A25" s="152">
        <v>24</v>
      </c>
      <c r="B25" s="150" t="s">
        <v>134</v>
      </c>
      <c r="C25" s="150">
        <v>4</v>
      </c>
      <c r="D25" s="150">
        <v>4</v>
      </c>
      <c r="E25" s="150" t="s">
        <v>231</v>
      </c>
      <c r="F25" s="150" t="s">
        <v>231</v>
      </c>
      <c r="G25" s="150">
        <v>72</v>
      </c>
      <c r="H25" s="150" t="s">
        <v>235</v>
      </c>
      <c r="I25" s="150" t="s">
        <v>136</v>
      </c>
      <c r="J25" s="150" t="s">
        <v>240</v>
      </c>
      <c r="K25" s="151" t="s">
        <v>241</v>
      </c>
      <c r="L25" s="150" t="s">
        <v>284</v>
      </c>
      <c r="M25" s="150">
        <v>34.799999999999997</v>
      </c>
      <c r="N25" s="150">
        <v>56.9</v>
      </c>
      <c r="O25" s="150">
        <v>7.5</v>
      </c>
      <c r="P25" s="150">
        <v>5.6899999999999995</v>
      </c>
    </row>
    <row r="26" spans="1:16">
      <c r="A26" s="152">
        <v>25</v>
      </c>
      <c r="B26" s="150" t="s">
        <v>135</v>
      </c>
      <c r="C26" s="150">
        <v>6</v>
      </c>
      <c r="D26" s="150">
        <v>6</v>
      </c>
      <c r="E26" s="150" t="s">
        <v>231</v>
      </c>
      <c r="F26" s="150" t="s">
        <v>231</v>
      </c>
      <c r="G26" s="150">
        <v>79</v>
      </c>
      <c r="H26" s="150" t="s">
        <v>235</v>
      </c>
      <c r="I26" s="150" t="s">
        <v>136</v>
      </c>
      <c r="J26" s="150" t="s">
        <v>239</v>
      </c>
      <c r="K26" s="150" t="s">
        <v>240</v>
      </c>
      <c r="L26" s="150" t="s">
        <v>284</v>
      </c>
      <c r="M26" s="150">
        <v>29.3</v>
      </c>
      <c r="N26" s="150">
        <v>41.2</v>
      </c>
      <c r="O26" s="150">
        <v>3.76</v>
      </c>
      <c r="P26" s="150">
        <v>4.5</v>
      </c>
    </row>
    <row r="27" spans="1:16">
      <c r="A27" s="152">
        <v>26</v>
      </c>
      <c r="B27" s="150" t="s">
        <v>135</v>
      </c>
      <c r="C27" s="150">
        <v>6</v>
      </c>
      <c r="D27" s="150">
        <v>6</v>
      </c>
      <c r="E27" s="150" t="s">
        <v>231</v>
      </c>
      <c r="F27" s="150" t="s">
        <v>231</v>
      </c>
      <c r="G27" s="150">
        <v>79</v>
      </c>
      <c r="H27" s="150" t="s">
        <v>235</v>
      </c>
      <c r="I27" s="150" t="s">
        <v>136</v>
      </c>
      <c r="J27" s="150" t="s">
        <v>239</v>
      </c>
      <c r="K27" s="150" t="s">
        <v>240</v>
      </c>
      <c r="L27" s="150" t="s">
        <v>284</v>
      </c>
      <c r="M27" s="150">
        <v>28.6</v>
      </c>
      <c r="N27" s="150">
        <v>50.2</v>
      </c>
      <c r="O27" s="150">
        <v>7.38</v>
      </c>
      <c r="P27" s="150">
        <v>11</v>
      </c>
    </row>
    <row r="28" spans="1:16">
      <c r="A28" s="152">
        <v>27</v>
      </c>
      <c r="B28" s="150" t="s">
        <v>138</v>
      </c>
      <c r="C28" s="150">
        <v>4</v>
      </c>
      <c r="D28" s="150">
        <v>4</v>
      </c>
      <c r="E28" s="150" t="s">
        <v>231</v>
      </c>
      <c r="F28" s="150" t="s">
        <v>231</v>
      </c>
      <c r="G28" s="150">
        <v>63</v>
      </c>
      <c r="H28" s="150" t="s">
        <v>235</v>
      </c>
      <c r="I28" s="150" t="s">
        <v>137</v>
      </c>
      <c r="J28" s="150" t="s">
        <v>132</v>
      </c>
      <c r="K28" s="150" t="s">
        <v>239</v>
      </c>
      <c r="L28" s="150" t="s">
        <v>285</v>
      </c>
      <c r="M28" s="165">
        <v>62</v>
      </c>
      <c r="N28" s="165">
        <v>65</v>
      </c>
      <c r="O28" s="150">
        <v>6.2</v>
      </c>
      <c r="P28" s="150">
        <v>6.5</v>
      </c>
    </row>
    <row r="29" spans="1:16">
      <c r="A29" s="152">
        <v>28</v>
      </c>
      <c r="B29" s="150" t="s">
        <v>138</v>
      </c>
      <c r="C29" s="150">
        <v>4</v>
      </c>
      <c r="D29" s="150">
        <v>4</v>
      </c>
      <c r="E29" s="150" t="s">
        <v>231</v>
      </c>
      <c r="F29" s="150" t="s">
        <v>231</v>
      </c>
      <c r="G29" s="150">
        <v>63</v>
      </c>
      <c r="H29" s="150" t="s">
        <v>235</v>
      </c>
      <c r="I29" s="150" t="s">
        <v>137</v>
      </c>
      <c r="J29" s="150" t="s">
        <v>132</v>
      </c>
      <c r="K29" s="150" t="s">
        <v>239</v>
      </c>
      <c r="L29" s="150" t="s">
        <v>285</v>
      </c>
      <c r="M29" s="165">
        <v>60</v>
      </c>
      <c r="N29" s="165">
        <v>57</v>
      </c>
      <c r="O29" s="150">
        <v>6</v>
      </c>
      <c r="P29" s="150">
        <v>5.7</v>
      </c>
    </row>
    <row r="30" spans="1:16">
      <c r="A30" s="152">
        <v>29</v>
      </c>
      <c r="B30" s="150" t="s">
        <v>139</v>
      </c>
      <c r="C30" s="150">
        <v>3</v>
      </c>
      <c r="D30" s="150">
        <v>3</v>
      </c>
      <c r="E30" s="150" t="s">
        <v>233</v>
      </c>
      <c r="F30" s="150" t="s">
        <v>228</v>
      </c>
      <c r="G30" s="150">
        <v>42</v>
      </c>
      <c r="H30" s="150" t="s">
        <v>234</v>
      </c>
      <c r="I30" s="150" t="s">
        <v>136</v>
      </c>
      <c r="J30" s="150" t="s">
        <v>132</v>
      </c>
      <c r="K30" s="150" t="s">
        <v>132</v>
      </c>
      <c r="L30" s="150" t="s">
        <v>283</v>
      </c>
      <c r="M30" s="150" t="s">
        <v>132</v>
      </c>
      <c r="N30" s="150" t="s">
        <v>132</v>
      </c>
      <c r="O30" s="150" t="s">
        <v>132</v>
      </c>
      <c r="P30" s="150" t="s">
        <v>132</v>
      </c>
    </row>
    <row r="31" spans="1:16">
      <c r="A31" s="152">
        <v>30</v>
      </c>
      <c r="B31" s="150" t="s">
        <v>139</v>
      </c>
      <c r="C31" s="150">
        <v>3</v>
      </c>
      <c r="D31" s="150">
        <v>3</v>
      </c>
      <c r="E31" s="150" t="s">
        <v>233</v>
      </c>
      <c r="F31" s="150" t="s">
        <v>229</v>
      </c>
      <c r="G31" s="150">
        <v>42</v>
      </c>
      <c r="H31" s="150" t="s">
        <v>234</v>
      </c>
      <c r="I31" s="150" t="s">
        <v>136</v>
      </c>
      <c r="J31" s="150" t="s">
        <v>132</v>
      </c>
      <c r="K31" s="150" t="s">
        <v>132</v>
      </c>
      <c r="L31" s="150" t="s">
        <v>283</v>
      </c>
      <c r="M31" s="150" t="s">
        <v>132</v>
      </c>
      <c r="N31" s="150" t="s">
        <v>132</v>
      </c>
      <c r="O31" s="150" t="s">
        <v>132</v>
      </c>
      <c r="P31" s="150" t="s">
        <v>132</v>
      </c>
    </row>
    <row r="32" spans="1:16">
      <c r="A32" s="152">
        <v>31</v>
      </c>
      <c r="B32" s="150" t="s">
        <v>139</v>
      </c>
      <c r="C32" s="150">
        <v>3</v>
      </c>
      <c r="D32" s="150">
        <v>3</v>
      </c>
      <c r="E32" s="150" t="s">
        <v>233</v>
      </c>
      <c r="F32" s="150" t="s">
        <v>229</v>
      </c>
      <c r="G32" s="150">
        <v>42</v>
      </c>
      <c r="H32" s="150" t="s">
        <v>234</v>
      </c>
      <c r="I32" s="150" t="s">
        <v>136</v>
      </c>
      <c r="J32" s="150" t="s">
        <v>132</v>
      </c>
      <c r="K32" s="150" t="s">
        <v>132</v>
      </c>
      <c r="L32" s="150" t="s">
        <v>283</v>
      </c>
      <c r="M32" s="150" t="s">
        <v>132</v>
      </c>
      <c r="N32" s="150" t="s">
        <v>132</v>
      </c>
      <c r="O32" s="150" t="s">
        <v>132</v>
      </c>
      <c r="P32" s="150" t="s">
        <v>132</v>
      </c>
    </row>
    <row r="33" spans="1:16">
      <c r="A33" s="152">
        <v>32</v>
      </c>
      <c r="B33" s="150" t="s">
        <v>140</v>
      </c>
      <c r="C33" s="150">
        <v>5</v>
      </c>
      <c r="D33" s="150">
        <v>5</v>
      </c>
      <c r="E33" s="150" t="s">
        <v>233</v>
      </c>
      <c r="F33" s="150" t="s">
        <v>229</v>
      </c>
      <c r="G33" s="150">
        <v>64</v>
      </c>
      <c r="H33" s="150" t="s">
        <v>234</v>
      </c>
      <c r="I33" s="150" t="s">
        <v>136</v>
      </c>
      <c r="J33" s="150" t="s">
        <v>240</v>
      </c>
      <c r="K33" s="150" t="s">
        <v>132</v>
      </c>
      <c r="L33" s="150" t="s">
        <v>284</v>
      </c>
      <c r="M33" s="150" t="s">
        <v>132</v>
      </c>
      <c r="N33" s="150" t="s">
        <v>132</v>
      </c>
      <c r="O33" s="150" t="s">
        <v>132</v>
      </c>
      <c r="P33" s="150" t="s">
        <v>132</v>
      </c>
    </row>
    <row r="34" spans="1:16">
      <c r="A34" s="152">
        <v>33</v>
      </c>
      <c r="B34" s="150" t="s">
        <v>140</v>
      </c>
      <c r="C34" s="150">
        <v>5</v>
      </c>
      <c r="D34" s="150">
        <v>5</v>
      </c>
      <c r="E34" s="150" t="s">
        <v>233</v>
      </c>
      <c r="F34" s="150" t="s">
        <v>229</v>
      </c>
      <c r="G34" s="150">
        <v>64</v>
      </c>
      <c r="H34" s="150" t="s">
        <v>234</v>
      </c>
      <c r="I34" s="150" t="s">
        <v>136</v>
      </c>
      <c r="J34" s="150" t="s">
        <v>240</v>
      </c>
      <c r="K34" s="150" t="s">
        <v>132</v>
      </c>
      <c r="L34" s="150" t="s">
        <v>284</v>
      </c>
      <c r="M34" s="150" t="s">
        <v>132</v>
      </c>
      <c r="N34" s="150" t="s">
        <v>132</v>
      </c>
      <c r="O34" s="150" t="s">
        <v>132</v>
      </c>
      <c r="P34" s="150" t="s">
        <v>132</v>
      </c>
    </row>
    <row r="35" spans="1:16">
      <c r="A35" s="152">
        <v>34</v>
      </c>
      <c r="B35" s="150" t="s">
        <v>140</v>
      </c>
      <c r="C35" s="150">
        <v>5</v>
      </c>
      <c r="D35" s="150">
        <v>5</v>
      </c>
      <c r="E35" s="150" t="s">
        <v>233</v>
      </c>
      <c r="F35" s="150" t="s">
        <v>230</v>
      </c>
      <c r="G35" s="150">
        <v>64</v>
      </c>
      <c r="H35" s="150" t="s">
        <v>234</v>
      </c>
      <c r="I35" s="150" t="s">
        <v>136</v>
      </c>
      <c r="J35" s="150" t="s">
        <v>240</v>
      </c>
      <c r="K35" s="150" t="s">
        <v>132</v>
      </c>
      <c r="L35" s="150" t="s">
        <v>284</v>
      </c>
      <c r="M35" s="150" t="s">
        <v>132</v>
      </c>
      <c r="N35" s="150" t="s">
        <v>132</v>
      </c>
      <c r="O35" s="150" t="s">
        <v>132</v>
      </c>
      <c r="P35" s="150" t="s">
        <v>132</v>
      </c>
    </row>
    <row r="36" spans="1:16">
      <c r="A36" s="152">
        <v>35</v>
      </c>
      <c r="B36" s="150" t="s">
        <v>140</v>
      </c>
      <c r="C36" s="150">
        <v>5</v>
      </c>
      <c r="D36" s="150">
        <v>5</v>
      </c>
      <c r="E36" s="150" t="s">
        <v>233</v>
      </c>
      <c r="F36" s="150" t="s">
        <v>229</v>
      </c>
      <c r="G36" s="150">
        <v>64</v>
      </c>
      <c r="H36" s="150" t="s">
        <v>234</v>
      </c>
      <c r="I36" s="150" t="s">
        <v>136</v>
      </c>
      <c r="J36" s="150" t="s">
        <v>240</v>
      </c>
      <c r="K36" s="150" t="s">
        <v>132</v>
      </c>
      <c r="L36" s="150" t="s">
        <v>283</v>
      </c>
      <c r="M36" s="150" t="s">
        <v>132</v>
      </c>
      <c r="N36" s="150" t="s">
        <v>132</v>
      </c>
      <c r="O36" s="150" t="s">
        <v>132</v>
      </c>
      <c r="P36" s="150" t="s">
        <v>132</v>
      </c>
    </row>
    <row r="37" spans="1:16">
      <c r="A37" s="152">
        <v>36</v>
      </c>
      <c r="B37" s="150" t="s">
        <v>140</v>
      </c>
      <c r="C37" s="150">
        <v>5</v>
      </c>
      <c r="D37" s="150">
        <v>5</v>
      </c>
      <c r="E37" s="150" t="s">
        <v>233</v>
      </c>
      <c r="F37" s="150" t="s">
        <v>229</v>
      </c>
      <c r="G37" s="150">
        <v>64</v>
      </c>
      <c r="H37" s="150" t="s">
        <v>234</v>
      </c>
      <c r="I37" s="150" t="s">
        <v>136</v>
      </c>
      <c r="J37" s="150" t="s">
        <v>240</v>
      </c>
      <c r="K37" s="150" t="s">
        <v>132</v>
      </c>
      <c r="L37" s="150" t="s">
        <v>283</v>
      </c>
      <c r="M37" s="150" t="s">
        <v>132</v>
      </c>
      <c r="N37" s="150" t="s">
        <v>132</v>
      </c>
      <c r="O37" s="150" t="s">
        <v>132</v>
      </c>
      <c r="P37" s="150" t="s">
        <v>132</v>
      </c>
    </row>
    <row r="38" spans="1:16">
      <c r="A38" s="152">
        <v>37</v>
      </c>
      <c r="B38" s="150" t="s">
        <v>141</v>
      </c>
      <c r="C38" s="150">
        <v>5</v>
      </c>
      <c r="D38" s="150">
        <v>5</v>
      </c>
      <c r="E38" s="150" t="s">
        <v>233</v>
      </c>
      <c r="F38" s="150" t="s">
        <v>229</v>
      </c>
      <c r="G38" s="150">
        <v>21</v>
      </c>
      <c r="H38" s="150" t="s">
        <v>234</v>
      </c>
      <c r="I38" s="150" t="s">
        <v>136</v>
      </c>
      <c r="J38" s="150" t="s">
        <v>132</v>
      </c>
      <c r="K38" s="150" t="s">
        <v>132</v>
      </c>
      <c r="L38" s="150" t="s">
        <v>283</v>
      </c>
      <c r="M38" s="150" t="s">
        <v>132</v>
      </c>
      <c r="N38" s="150" t="s">
        <v>132</v>
      </c>
      <c r="O38" s="150" t="s">
        <v>132</v>
      </c>
      <c r="P38" s="150" t="s">
        <v>132</v>
      </c>
    </row>
    <row r="39" spans="1:16">
      <c r="A39" s="152">
        <v>38</v>
      </c>
      <c r="B39" s="150" t="s">
        <v>141</v>
      </c>
      <c r="C39" s="150">
        <v>5</v>
      </c>
      <c r="D39" s="150">
        <v>5</v>
      </c>
      <c r="E39" s="150" t="s">
        <v>233</v>
      </c>
      <c r="F39" s="150" t="s">
        <v>229</v>
      </c>
      <c r="G39" s="150">
        <v>42</v>
      </c>
      <c r="H39" s="150" t="s">
        <v>234</v>
      </c>
      <c r="I39" s="150" t="s">
        <v>136</v>
      </c>
      <c r="J39" s="150" t="s">
        <v>132</v>
      </c>
      <c r="K39" s="150" t="s">
        <v>132</v>
      </c>
      <c r="L39" s="150" t="s">
        <v>283</v>
      </c>
      <c r="M39" s="150" t="s">
        <v>132</v>
      </c>
      <c r="N39" s="150" t="s">
        <v>132</v>
      </c>
      <c r="O39" s="150" t="s">
        <v>132</v>
      </c>
      <c r="P39" s="150" t="s">
        <v>132</v>
      </c>
    </row>
    <row r="40" spans="1:16">
      <c r="A40" s="152">
        <v>39</v>
      </c>
      <c r="B40" s="150" t="s">
        <v>142</v>
      </c>
      <c r="C40" s="150">
        <v>5</v>
      </c>
      <c r="D40" s="150">
        <v>5</v>
      </c>
      <c r="E40" s="150" t="s">
        <v>233</v>
      </c>
      <c r="F40" s="150" t="s">
        <v>228</v>
      </c>
      <c r="G40" s="150">
        <v>28</v>
      </c>
      <c r="H40" s="150" t="s">
        <v>234</v>
      </c>
      <c r="I40" s="150" t="s">
        <v>136</v>
      </c>
      <c r="J40" s="150" t="s">
        <v>132</v>
      </c>
      <c r="K40" s="150" t="s">
        <v>132</v>
      </c>
      <c r="L40" s="150" t="s">
        <v>284</v>
      </c>
      <c r="M40" s="150" t="s">
        <v>132</v>
      </c>
      <c r="N40" s="150" t="s">
        <v>132</v>
      </c>
      <c r="O40" s="150" t="s">
        <v>132</v>
      </c>
      <c r="P40" s="150" t="s">
        <v>132</v>
      </c>
    </row>
    <row r="41" spans="1:16">
      <c r="A41" s="152">
        <v>40</v>
      </c>
      <c r="B41" s="150" t="s">
        <v>142</v>
      </c>
      <c r="C41" s="150">
        <v>5</v>
      </c>
      <c r="D41" s="150">
        <v>5</v>
      </c>
      <c r="E41" s="150" t="s">
        <v>233</v>
      </c>
      <c r="F41" s="150" t="s">
        <v>228</v>
      </c>
      <c r="G41" s="150">
        <v>70</v>
      </c>
      <c r="H41" s="150" t="s">
        <v>235</v>
      </c>
      <c r="I41" s="150" t="s">
        <v>136</v>
      </c>
      <c r="J41" s="150" t="s">
        <v>132</v>
      </c>
      <c r="K41" s="150" t="s">
        <v>132</v>
      </c>
      <c r="L41" s="150" t="s">
        <v>284</v>
      </c>
      <c r="M41" s="150" t="s">
        <v>132</v>
      </c>
      <c r="N41" s="150" t="s">
        <v>132</v>
      </c>
      <c r="O41" s="150" t="s">
        <v>132</v>
      </c>
      <c r="P41" s="150" t="s">
        <v>132</v>
      </c>
    </row>
    <row r="42" spans="1:16">
      <c r="A42" s="152">
        <v>41</v>
      </c>
      <c r="B42" s="150" t="s">
        <v>142</v>
      </c>
      <c r="C42" s="150">
        <v>5</v>
      </c>
      <c r="D42" s="150">
        <v>5</v>
      </c>
      <c r="E42" s="150" t="s">
        <v>233</v>
      </c>
      <c r="F42" s="150" t="s">
        <v>228</v>
      </c>
      <c r="G42" s="150">
        <v>112</v>
      </c>
      <c r="H42" s="150" t="s">
        <v>235</v>
      </c>
      <c r="I42" s="150" t="s">
        <v>136</v>
      </c>
      <c r="J42" s="150" t="s">
        <v>132</v>
      </c>
      <c r="K42" s="150" t="s">
        <v>132</v>
      </c>
      <c r="L42" s="150" t="s">
        <v>284</v>
      </c>
      <c r="M42" s="150" t="s">
        <v>132</v>
      </c>
      <c r="N42" s="150" t="s">
        <v>132</v>
      </c>
      <c r="O42" s="150" t="s">
        <v>132</v>
      </c>
      <c r="P42" s="150" t="s">
        <v>132</v>
      </c>
    </row>
    <row r="43" spans="1:16">
      <c r="A43" s="152">
        <v>42</v>
      </c>
      <c r="B43" s="150" t="s">
        <v>142</v>
      </c>
      <c r="C43" s="150">
        <v>5</v>
      </c>
      <c r="D43" s="150">
        <v>5</v>
      </c>
      <c r="E43" s="150" t="s">
        <v>233</v>
      </c>
      <c r="F43" s="150" t="s">
        <v>228</v>
      </c>
      <c r="G43" s="150">
        <v>28</v>
      </c>
      <c r="H43" s="150" t="s">
        <v>234</v>
      </c>
      <c r="I43" s="150" t="s">
        <v>136</v>
      </c>
      <c r="J43" s="150" t="s">
        <v>132</v>
      </c>
      <c r="K43" s="150" t="s">
        <v>132</v>
      </c>
      <c r="L43" s="150" t="s">
        <v>284</v>
      </c>
      <c r="M43" s="150" t="s">
        <v>132</v>
      </c>
      <c r="N43" s="150" t="s">
        <v>132</v>
      </c>
      <c r="O43" s="150" t="s">
        <v>132</v>
      </c>
      <c r="P43" s="150" t="s">
        <v>132</v>
      </c>
    </row>
    <row r="44" spans="1:16">
      <c r="A44" s="152">
        <v>43</v>
      </c>
      <c r="B44" s="150" t="s">
        <v>142</v>
      </c>
      <c r="C44" s="150">
        <v>5</v>
      </c>
      <c r="D44" s="150">
        <v>5</v>
      </c>
      <c r="E44" s="150" t="s">
        <v>233</v>
      </c>
      <c r="F44" s="150" t="s">
        <v>228</v>
      </c>
      <c r="G44" s="150">
        <v>70</v>
      </c>
      <c r="H44" s="150" t="s">
        <v>235</v>
      </c>
      <c r="I44" s="150" t="s">
        <v>136</v>
      </c>
      <c r="J44" s="150" t="s">
        <v>132</v>
      </c>
      <c r="K44" s="150" t="s">
        <v>132</v>
      </c>
      <c r="L44" s="150" t="s">
        <v>284</v>
      </c>
      <c r="M44" s="150" t="s">
        <v>132</v>
      </c>
      <c r="N44" s="150" t="s">
        <v>132</v>
      </c>
      <c r="O44" s="150" t="s">
        <v>132</v>
      </c>
      <c r="P44" s="150" t="s">
        <v>132</v>
      </c>
    </row>
    <row r="45" spans="1:16">
      <c r="A45" s="152">
        <v>44</v>
      </c>
      <c r="B45" s="150" t="s">
        <v>142</v>
      </c>
      <c r="C45" s="150">
        <v>5</v>
      </c>
      <c r="D45" s="150">
        <v>5</v>
      </c>
      <c r="E45" s="150" t="s">
        <v>233</v>
      </c>
      <c r="F45" s="150" t="s">
        <v>228</v>
      </c>
      <c r="G45" s="150">
        <v>112</v>
      </c>
      <c r="H45" s="150" t="s">
        <v>235</v>
      </c>
      <c r="I45" s="150" t="s">
        <v>136</v>
      </c>
      <c r="J45" s="150" t="s">
        <v>132</v>
      </c>
      <c r="K45" s="150" t="s">
        <v>132</v>
      </c>
      <c r="L45" s="150" t="s">
        <v>284</v>
      </c>
      <c r="M45" s="150" t="s">
        <v>132</v>
      </c>
      <c r="N45" s="150" t="s">
        <v>132</v>
      </c>
      <c r="O45" s="150" t="s">
        <v>132</v>
      </c>
      <c r="P45" s="150" t="s">
        <v>132</v>
      </c>
    </row>
    <row r="46" spans="1:16">
      <c r="A46" s="152">
        <v>45</v>
      </c>
      <c r="B46" s="150" t="s">
        <v>142</v>
      </c>
      <c r="C46" s="150">
        <v>5</v>
      </c>
      <c r="D46" s="150">
        <v>5</v>
      </c>
      <c r="E46" s="150" t="s">
        <v>233</v>
      </c>
      <c r="F46" s="150" t="s">
        <v>229</v>
      </c>
      <c r="G46" s="150">
        <v>28</v>
      </c>
      <c r="H46" s="150" t="s">
        <v>234</v>
      </c>
      <c r="I46" s="150" t="s">
        <v>136</v>
      </c>
      <c r="J46" s="150" t="s">
        <v>132</v>
      </c>
      <c r="K46" s="150" t="s">
        <v>132</v>
      </c>
      <c r="L46" s="150" t="s">
        <v>284</v>
      </c>
      <c r="M46" s="150" t="s">
        <v>132</v>
      </c>
      <c r="N46" s="150" t="s">
        <v>132</v>
      </c>
      <c r="O46" s="150" t="s">
        <v>132</v>
      </c>
      <c r="P46" s="150" t="s">
        <v>132</v>
      </c>
    </row>
    <row r="47" spans="1:16">
      <c r="A47" s="152">
        <v>46</v>
      </c>
      <c r="B47" s="150" t="s">
        <v>142</v>
      </c>
      <c r="C47" s="150">
        <v>5</v>
      </c>
      <c r="D47" s="150">
        <v>5</v>
      </c>
      <c r="E47" s="150" t="s">
        <v>233</v>
      </c>
      <c r="F47" s="150" t="s">
        <v>229</v>
      </c>
      <c r="G47" s="150">
        <v>70</v>
      </c>
      <c r="H47" s="150" t="s">
        <v>235</v>
      </c>
      <c r="I47" s="150" t="s">
        <v>136</v>
      </c>
      <c r="J47" s="150" t="s">
        <v>132</v>
      </c>
      <c r="K47" s="150" t="s">
        <v>132</v>
      </c>
      <c r="L47" s="150" t="s">
        <v>284</v>
      </c>
      <c r="M47" s="150" t="s">
        <v>132</v>
      </c>
      <c r="N47" s="150" t="s">
        <v>132</v>
      </c>
      <c r="O47" s="150" t="s">
        <v>132</v>
      </c>
      <c r="P47" s="150" t="s">
        <v>132</v>
      </c>
    </row>
    <row r="48" spans="1:16">
      <c r="A48" s="152">
        <v>47</v>
      </c>
      <c r="B48" s="150" t="s">
        <v>142</v>
      </c>
      <c r="C48" s="150">
        <v>5</v>
      </c>
      <c r="D48" s="150">
        <v>5</v>
      </c>
      <c r="E48" s="150" t="s">
        <v>233</v>
      </c>
      <c r="F48" s="150" t="s">
        <v>229</v>
      </c>
      <c r="G48" s="150">
        <v>112</v>
      </c>
      <c r="H48" s="150" t="s">
        <v>235</v>
      </c>
      <c r="I48" s="150" t="s">
        <v>136</v>
      </c>
      <c r="J48" s="150" t="s">
        <v>132</v>
      </c>
      <c r="K48" s="150" t="s">
        <v>132</v>
      </c>
      <c r="L48" s="150" t="s">
        <v>284</v>
      </c>
      <c r="M48" s="150" t="s">
        <v>132</v>
      </c>
      <c r="N48" s="150" t="s">
        <v>132</v>
      </c>
      <c r="O48" s="150" t="s">
        <v>132</v>
      </c>
      <c r="P48" s="150" t="s">
        <v>132</v>
      </c>
    </row>
    <row r="49" spans="1:16">
      <c r="A49" s="152">
        <v>48</v>
      </c>
      <c r="B49" s="150" t="s">
        <v>142</v>
      </c>
      <c r="C49" s="150">
        <v>3</v>
      </c>
      <c r="D49" s="150">
        <v>3</v>
      </c>
      <c r="E49" s="150" t="s">
        <v>233</v>
      </c>
      <c r="F49" s="150" t="s">
        <v>229</v>
      </c>
      <c r="G49" s="150">
        <v>28</v>
      </c>
      <c r="H49" s="150" t="s">
        <v>234</v>
      </c>
      <c r="I49" s="150" t="s">
        <v>136</v>
      </c>
      <c r="J49" s="150" t="s">
        <v>132</v>
      </c>
      <c r="K49" s="150" t="s">
        <v>132</v>
      </c>
      <c r="L49" s="150" t="s">
        <v>283</v>
      </c>
      <c r="M49" s="150" t="s">
        <v>132</v>
      </c>
      <c r="N49" s="150" t="s">
        <v>132</v>
      </c>
      <c r="O49" s="150" t="s">
        <v>132</v>
      </c>
      <c r="P49" s="150" t="s">
        <v>132</v>
      </c>
    </row>
    <row r="50" spans="1:16">
      <c r="A50" s="152">
        <v>49</v>
      </c>
      <c r="B50" s="150" t="s">
        <v>142</v>
      </c>
      <c r="C50" s="150">
        <v>3</v>
      </c>
      <c r="D50" s="150">
        <v>3</v>
      </c>
      <c r="E50" s="150" t="s">
        <v>233</v>
      </c>
      <c r="F50" s="150" t="s">
        <v>229</v>
      </c>
      <c r="G50" s="150">
        <v>70</v>
      </c>
      <c r="H50" s="150" t="s">
        <v>235</v>
      </c>
      <c r="I50" s="150" t="s">
        <v>136</v>
      </c>
      <c r="J50" s="150" t="s">
        <v>132</v>
      </c>
      <c r="K50" s="150" t="s">
        <v>132</v>
      </c>
      <c r="L50" s="150" t="s">
        <v>283</v>
      </c>
      <c r="M50" s="150" t="s">
        <v>132</v>
      </c>
      <c r="N50" s="150" t="s">
        <v>132</v>
      </c>
      <c r="O50" s="150" t="s">
        <v>132</v>
      </c>
      <c r="P50" s="150" t="s">
        <v>132</v>
      </c>
    </row>
    <row r="51" spans="1:16">
      <c r="A51" s="152">
        <v>50</v>
      </c>
      <c r="B51" s="150" t="s">
        <v>142</v>
      </c>
      <c r="C51" s="150">
        <v>5</v>
      </c>
      <c r="D51" s="150">
        <v>5</v>
      </c>
      <c r="E51" s="150" t="s">
        <v>233</v>
      </c>
      <c r="F51" s="150" t="s">
        <v>229</v>
      </c>
      <c r="G51" s="150">
        <v>126</v>
      </c>
      <c r="H51" s="150" t="s">
        <v>235</v>
      </c>
      <c r="I51" s="150" t="s">
        <v>136</v>
      </c>
      <c r="J51" s="150" t="s">
        <v>132</v>
      </c>
      <c r="K51" s="150" t="s">
        <v>132</v>
      </c>
      <c r="L51" s="150" t="s">
        <v>283</v>
      </c>
      <c r="M51" s="150" t="s">
        <v>132</v>
      </c>
      <c r="N51" s="150" t="s">
        <v>132</v>
      </c>
      <c r="O51" s="150" t="s">
        <v>132</v>
      </c>
      <c r="P51" s="150" t="s">
        <v>132</v>
      </c>
    </row>
    <row r="52" spans="1:16">
      <c r="A52" s="152">
        <v>51</v>
      </c>
      <c r="B52" s="150" t="s">
        <v>142</v>
      </c>
      <c r="C52" s="150">
        <v>3</v>
      </c>
      <c r="D52" s="150">
        <v>3</v>
      </c>
      <c r="E52" s="150" t="s">
        <v>233</v>
      </c>
      <c r="F52" s="150" t="s">
        <v>228</v>
      </c>
      <c r="G52" s="150">
        <v>28</v>
      </c>
      <c r="H52" s="150" t="s">
        <v>234</v>
      </c>
      <c r="I52" s="150" t="s">
        <v>136</v>
      </c>
      <c r="J52" s="150" t="s">
        <v>132</v>
      </c>
      <c r="K52" s="150" t="s">
        <v>132</v>
      </c>
      <c r="L52" s="150" t="s">
        <v>284</v>
      </c>
      <c r="M52" s="150" t="s">
        <v>132</v>
      </c>
      <c r="N52" s="150" t="s">
        <v>132</v>
      </c>
      <c r="O52" s="150" t="s">
        <v>132</v>
      </c>
      <c r="P52" s="150" t="s">
        <v>132</v>
      </c>
    </row>
    <row r="53" spans="1:16">
      <c r="A53" s="152">
        <v>52</v>
      </c>
      <c r="B53" s="150" t="s">
        <v>142</v>
      </c>
      <c r="C53" s="150">
        <v>3</v>
      </c>
      <c r="D53" s="150">
        <v>3</v>
      </c>
      <c r="E53" s="150" t="s">
        <v>233</v>
      </c>
      <c r="F53" s="150" t="s">
        <v>228</v>
      </c>
      <c r="G53" s="150">
        <v>70</v>
      </c>
      <c r="H53" s="150" t="s">
        <v>235</v>
      </c>
      <c r="I53" s="150" t="s">
        <v>136</v>
      </c>
      <c r="J53" s="150" t="s">
        <v>132</v>
      </c>
      <c r="K53" s="150" t="s">
        <v>132</v>
      </c>
      <c r="L53" s="150" t="s">
        <v>284</v>
      </c>
      <c r="M53" s="150" t="s">
        <v>132</v>
      </c>
      <c r="N53" s="150" t="s">
        <v>132</v>
      </c>
      <c r="O53" s="150" t="s">
        <v>132</v>
      </c>
      <c r="P53" s="150" t="s">
        <v>132</v>
      </c>
    </row>
    <row r="54" spans="1:16">
      <c r="A54" s="152">
        <v>53</v>
      </c>
      <c r="B54" s="150" t="s">
        <v>142</v>
      </c>
      <c r="C54" s="150">
        <v>6</v>
      </c>
      <c r="D54" s="150">
        <v>6</v>
      </c>
      <c r="E54" s="150" t="s">
        <v>233</v>
      </c>
      <c r="F54" s="150" t="s">
        <v>228</v>
      </c>
      <c r="G54" s="150">
        <v>126</v>
      </c>
      <c r="H54" s="150" t="s">
        <v>235</v>
      </c>
      <c r="I54" s="150" t="s">
        <v>136</v>
      </c>
      <c r="J54" s="150" t="s">
        <v>132</v>
      </c>
      <c r="K54" s="150" t="s">
        <v>132</v>
      </c>
      <c r="L54" s="150" t="s">
        <v>284</v>
      </c>
      <c r="M54" s="150" t="s">
        <v>132</v>
      </c>
      <c r="N54" s="150" t="s">
        <v>132</v>
      </c>
      <c r="O54" s="150" t="s">
        <v>132</v>
      </c>
      <c r="P54" s="150" t="s">
        <v>132</v>
      </c>
    </row>
    <row r="55" spans="1:16">
      <c r="A55" s="152">
        <v>54</v>
      </c>
      <c r="B55" s="150" t="s">
        <v>142</v>
      </c>
      <c r="C55" s="150">
        <v>3</v>
      </c>
      <c r="D55" s="150">
        <v>3</v>
      </c>
      <c r="E55" s="150" t="s">
        <v>233</v>
      </c>
      <c r="F55" s="150" t="s">
        <v>230</v>
      </c>
      <c r="G55" s="150">
        <v>28</v>
      </c>
      <c r="H55" s="150" t="s">
        <v>234</v>
      </c>
      <c r="I55" s="150" t="s">
        <v>136</v>
      </c>
      <c r="J55" s="150" t="s">
        <v>132</v>
      </c>
      <c r="K55" s="150" t="s">
        <v>132</v>
      </c>
      <c r="L55" s="150" t="s">
        <v>284</v>
      </c>
      <c r="M55" s="150" t="s">
        <v>132</v>
      </c>
      <c r="N55" s="150" t="s">
        <v>132</v>
      </c>
      <c r="O55" s="150" t="s">
        <v>132</v>
      </c>
      <c r="P55" s="150" t="s">
        <v>132</v>
      </c>
    </row>
    <row r="56" spans="1:16">
      <c r="A56" s="152">
        <v>55</v>
      </c>
      <c r="B56" s="150" t="s">
        <v>142</v>
      </c>
      <c r="C56" s="150">
        <v>3</v>
      </c>
      <c r="D56" s="150">
        <v>3</v>
      </c>
      <c r="E56" s="150" t="s">
        <v>233</v>
      </c>
      <c r="F56" s="150" t="s">
        <v>230</v>
      </c>
      <c r="G56" s="150">
        <v>70</v>
      </c>
      <c r="H56" s="150" t="s">
        <v>235</v>
      </c>
      <c r="I56" s="150" t="s">
        <v>136</v>
      </c>
      <c r="J56" s="150" t="s">
        <v>132</v>
      </c>
      <c r="K56" s="150" t="s">
        <v>132</v>
      </c>
      <c r="L56" s="150" t="s">
        <v>284</v>
      </c>
      <c r="M56" s="150" t="s">
        <v>132</v>
      </c>
      <c r="N56" s="150" t="s">
        <v>132</v>
      </c>
      <c r="O56" s="150" t="s">
        <v>132</v>
      </c>
      <c r="P56" s="150" t="s">
        <v>132</v>
      </c>
    </row>
    <row r="57" spans="1:16">
      <c r="A57" s="152">
        <v>56</v>
      </c>
      <c r="B57" s="150" t="s">
        <v>142</v>
      </c>
      <c r="C57" s="150">
        <v>6</v>
      </c>
      <c r="D57" s="150">
        <v>6</v>
      </c>
      <c r="E57" s="150" t="s">
        <v>233</v>
      </c>
      <c r="F57" s="150" t="s">
        <v>230</v>
      </c>
      <c r="G57" s="150">
        <v>126</v>
      </c>
      <c r="H57" s="150" t="s">
        <v>235</v>
      </c>
      <c r="I57" s="150" t="s">
        <v>136</v>
      </c>
      <c r="J57" s="150" t="s">
        <v>132</v>
      </c>
      <c r="K57" s="150" t="s">
        <v>132</v>
      </c>
      <c r="L57" s="150" t="s">
        <v>284</v>
      </c>
      <c r="M57" s="150" t="s">
        <v>132</v>
      </c>
      <c r="N57" s="150" t="s">
        <v>132</v>
      </c>
      <c r="O57" s="150" t="s">
        <v>132</v>
      </c>
      <c r="P57" s="150" t="s">
        <v>132</v>
      </c>
    </row>
    <row r="58" spans="1:16">
      <c r="A58" s="152">
        <v>57</v>
      </c>
      <c r="B58" s="150" t="s">
        <v>143</v>
      </c>
      <c r="C58" s="150">
        <v>6</v>
      </c>
      <c r="D58" s="150">
        <v>6</v>
      </c>
      <c r="E58" s="150" t="s">
        <v>233</v>
      </c>
      <c r="F58" s="150" t="s">
        <v>228</v>
      </c>
      <c r="G58" s="150">
        <v>56</v>
      </c>
      <c r="H58" s="150" t="s">
        <v>234</v>
      </c>
      <c r="I58" s="150" t="s">
        <v>136</v>
      </c>
      <c r="J58" s="150" t="s">
        <v>132</v>
      </c>
      <c r="K58" s="150" t="s">
        <v>132</v>
      </c>
      <c r="L58" s="150" t="s">
        <v>285</v>
      </c>
      <c r="M58" s="150" t="s">
        <v>132</v>
      </c>
      <c r="N58" s="150" t="s">
        <v>132</v>
      </c>
      <c r="O58" s="150" t="s">
        <v>132</v>
      </c>
      <c r="P58" s="150" t="s">
        <v>132</v>
      </c>
    </row>
    <row r="59" spans="1:16">
      <c r="A59" s="152">
        <v>58</v>
      </c>
      <c r="B59" s="150" t="s">
        <v>143</v>
      </c>
      <c r="C59" s="150">
        <v>6</v>
      </c>
      <c r="D59" s="150">
        <v>6</v>
      </c>
      <c r="E59" s="150" t="s">
        <v>233</v>
      </c>
      <c r="F59" s="150" t="s">
        <v>230</v>
      </c>
      <c r="G59" s="150">
        <v>56</v>
      </c>
      <c r="H59" s="150" t="s">
        <v>234</v>
      </c>
      <c r="I59" s="150" t="s">
        <v>136</v>
      </c>
      <c r="J59" s="150" t="s">
        <v>132</v>
      </c>
      <c r="K59" s="150" t="s">
        <v>132</v>
      </c>
      <c r="L59" s="150" t="s">
        <v>285</v>
      </c>
      <c r="M59" s="150" t="s">
        <v>132</v>
      </c>
      <c r="N59" s="150" t="s">
        <v>132</v>
      </c>
      <c r="O59" s="150" t="s">
        <v>132</v>
      </c>
      <c r="P59" s="150" t="s">
        <v>132</v>
      </c>
    </row>
    <row r="60" spans="1:16">
      <c r="A60" s="152">
        <v>59</v>
      </c>
      <c r="B60" s="150" t="s">
        <v>143</v>
      </c>
      <c r="C60" s="150">
        <v>6</v>
      </c>
      <c r="D60" s="150">
        <v>6</v>
      </c>
      <c r="E60" s="150" t="s">
        <v>233</v>
      </c>
      <c r="F60" s="150" t="s">
        <v>228</v>
      </c>
      <c r="G60" s="150">
        <v>56</v>
      </c>
      <c r="H60" s="150" t="s">
        <v>234</v>
      </c>
      <c r="I60" s="150" t="s">
        <v>136</v>
      </c>
      <c r="J60" s="150" t="s">
        <v>132</v>
      </c>
      <c r="K60" s="150" t="s">
        <v>132</v>
      </c>
      <c r="L60" s="150" t="s">
        <v>285</v>
      </c>
      <c r="M60" s="150" t="s">
        <v>132</v>
      </c>
      <c r="N60" s="150" t="s">
        <v>132</v>
      </c>
      <c r="O60" s="150" t="s">
        <v>132</v>
      </c>
      <c r="P60" s="150" t="s">
        <v>132</v>
      </c>
    </row>
    <row r="61" spans="1:16">
      <c r="A61" s="152">
        <v>60</v>
      </c>
      <c r="B61" s="150" t="s">
        <v>143</v>
      </c>
      <c r="C61" s="150">
        <v>6</v>
      </c>
      <c r="D61" s="150">
        <v>6</v>
      </c>
      <c r="E61" s="150" t="s">
        <v>233</v>
      </c>
      <c r="F61" s="150" t="s">
        <v>230</v>
      </c>
      <c r="G61" s="150">
        <v>56</v>
      </c>
      <c r="H61" s="150" t="s">
        <v>234</v>
      </c>
      <c r="I61" s="150" t="s">
        <v>136</v>
      </c>
      <c r="J61" s="150" t="s">
        <v>132</v>
      </c>
      <c r="K61" s="150" t="s">
        <v>132</v>
      </c>
      <c r="L61" s="150" t="s">
        <v>285</v>
      </c>
      <c r="M61" s="150" t="s">
        <v>132</v>
      </c>
      <c r="N61" s="150" t="s">
        <v>132</v>
      </c>
      <c r="O61" s="150" t="s">
        <v>132</v>
      </c>
      <c r="P61" s="150" t="s">
        <v>132</v>
      </c>
    </row>
    <row r="62" spans="1:16">
      <c r="A62" s="152">
        <v>61</v>
      </c>
      <c r="B62" s="150" t="s">
        <v>144</v>
      </c>
      <c r="C62" s="150">
        <v>3</v>
      </c>
      <c r="D62" s="150">
        <v>3</v>
      </c>
      <c r="E62" s="150" t="s">
        <v>233</v>
      </c>
      <c r="F62" s="150" t="s">
        <v>229</v>
      </c>
      <c r="G62" s="150">
        <v>56</v>
      </c>
      <c r="H62" s="150" t="s">
        <v>234</v>
      </c>
      <c r="I62" s="150" t="s">
        <v>136</v>
      </c>
      <c r="J62" s="150" t="s">
        <v>132</v>
      </c>
      <c r="K62" s="150" t="s">
        <v>132</v>
      </c>
      <c r="L62" s="150" t="s">
        <v>132</v>
      </c>
      <c r="M62" s="150" t="s">
        <v>132</v>
      </c>
      <c r="N62" s="150" t="s">
        <v>132</v>
      </c>
      <c r="O62" s="150" t="s">
        <v>132</v>
      </c>
      <c r="P62" s="150" t="s">
        <v>132</v>
      </c>
    </row>
    <row r="63" spans="1:16">
      <c r="A63" s="152">
        <v>62</v>
      </c>
      <c r="B63" s="150" t="s">
        <v>144</v>
      </c>
      <c r="C63" s="150">
        <v>3</v>
      </c>
      <c r="D63" s="150">
        <v>3</v>
      </c>
      <c r="E63" s="150" t="s">
        <v>233</v>
      </c>
      <c r="F63" s="150" t="s">
        <v>230</v>
      </c>
      <c r="G63" s="150">
        <v>56</v>
      </c>
      <c r="H63" s="150" t="s">
        <v>234</v>
      </c>
      <c r="I63" s="150" t="s">
        <v>136</v>
      </c>
      <c r="J63" s="150" t="s">
        <v>132</v>
      </c>
      <c r="K63" s="150" t="s">
        <v>132</v>
      </c>
      <c r="L63" s="150" t="s">
        <v>132</v>
      </c>
      <c r="M63" s="150" t="s">
        <v>132</v>
      </c>
      <c r="N63" s="150" t="s">
        <v>132</v>
      </c>
      <c r="O63" s="150" t="s">
        <v>132</v>
      </c>
      <c r="P63" s="150" t="s">
        <v>132</v>
      </c>
    </row>
    <row r="64" spans="1:16">
      <c r="A64" s="152">
        <v>63</v>
      </c>
      <c r="B64" s="150" t="s">
        <v>144</v>
      </c>
      <c r="C64" s="150">
        <v>3</v>
      </c>
      <c r="D64" s="150">
        <v>3</v>
      </c>
      <c r="E64" s="150" t="s">
        <v>233</v>
      </c>
      <c r="F64" s="150" t="s">
        <v>228</v>
      </c>
      <c r="G64" s="150">
        <v>56</v>
      </c>
      <c r="H64" s="150" t="s">
        <v>234</v>
      </c>
      <c r="I64" s="150" t="s">
        <v>136</v>
      </c>
      <c r="J64" s="150" t="s">
        <v>132</v>
      </c>
      <c r="K64" s="150" t="s">
        <v>132</v>
      </c>
      <c r="L64" s="150" t="s">
        <v>132</v>
      </c>
      <c r="M64" s="150" t="s">
        <v>132</v>
      </c>
      <c r="N64" s="150" t="s">
        <v>132</v>
      </c>
      <c r="O64" s="150" t="s">
        <v>132</v>
      </c>
      <c r="P64" s="150" t="s">
        <v>132</v>
      </c>
    </row>
    <row r="65" spans="1:16">
      <c r="A65" s="152">
        <v>64</v>
      </c>
      <c r="B65" s="150" t="s">
        <v>144</v>
      </c>
      <c r="C65" s="150">
        <v>4</v>
      </c>
      <c r="D65" s="150">
        <v>4</v>
      </c>
      <c r="E65" s="150" t="s">
        <v>233</v>
      </c>
      <c r="F65" s="150" t="s">
        <v>229</v>
      </c>
      <c r="G65" s="150">
        <v>56</v>
      </c>
      <c r="H65" s="150" t="s">
        <v>234</v>
      </c>
      <c r="I65" s="150" t="s">
        <v>136</v>
      </c>
      <c r="J65" s="150" t="s">
        <v>132</v>
      </c>
      <c r="K65" s="150" t="s">
        <v>132</v>
      </c>
      <c r="L65" s="150" t="s">
        <v>132</v>
      </c>
      <c r="M65" s="150" t="s">
        <v>132</v>
      </c>
      <c r="N65" s="150" t="s">
        <v>132</v>
      </c>
      <c r="O65" s="150" t="s">
        <v>132</v>
      </c>
      <c r="P65" s="150" t="s">
        <v>132</v>
      </c>
    </row>
    <row r="66" spans="1:16">
      <c r="A66" s="152">
        <v>65</v>
      </c>
      <c r="B66" s="150" t="s">
        <v>144</v>
      </c>
      <c r="C66" s="150">
        <v>4</v>
      </c>
      <c r="D66" s="150">
        <v>4</v>
      </c>
      <c r="E66" s="150" t="s">
        <v>233</v>
      </c>
      <c r="F66" s="150" t="s">
        <v>230</v>
      </c>
      <c r="G66" s="150">
        <v>56</v>
      </c>
      <c r="H66" s="150" t="s">
        <v>234</v>
      </c>
      <c r="I66" s="150" t="s">
        <v>136</v>
      </c>
      <c r="J66" s="150" t="s">
        <v>132</v>
      </c>
      <c r="K66" s="150" t="s">
        <v>132</v>
      </c>
      <c r="L66" s="150" t="s">
        <v>132</v>
      </c>
      <c r="M66" s="150" t="s">
        <v>132</v>
      </c>
      <c r="N66" s="150" t="s">
        <v>132</v>
      </c>
      <c r="O66" s="150" t="s">
        <v>132</v>
      </c>
      <c r="P66" s="150" t="s">
        <v>132</v>
      </c>
    </row>
    <row r="67" spans="1:16">
      <c r="A67" s="152">
        <v>66</v>
      </c>
      <c r="B67" s="150" t="s">
        <v>144</v>
      </c>
      <c r="C67" s="150">
        <v>4</v>
      </c>
      <c r="D67" s="150">
        <v>4</v>
      </c>
      <c r="E67" s="150" t="s">
        <v>233</v>
      </c>
      <c r="F67" s="150" t="s">
        <v>228</v>
      </c>
      <c r="G67" s="150">
        <v>56</v>
      </c>
      <c r="H67" s="150" t="s">
        <v>234</v>
      </c>
      <c r="I67" s="150" t="s">
        <v>136</v>
      </c>
      <c r="J67" s="150" t="s">
        <v>132</v>
      </c>
      <c r="K67" s="150" t="s">
        <v>132</v>
      </c>
      <c r="L67" s="150" t="s">
        <v>132</v>
      </c>
      <c r="M67" s="150" t="s">
        <v>132</v>
      </c>
      <c r="N67" s="150" t="s">
        <v>132</v>
      </c>
      <c r="O67" s="150" t="s">
        <v>132</v>
      </c>
      <c r="P67" s="150" t="s">
        <v>132</v>
      </c>
    </row>
    <row r="68" spans="1:16">
      <c r="A68" s="152">
        <v>67</v>
      </c>
      <c r="B68" s="150" t="s">
        <v>145</v>
      </c>
      <c r="C68" s="150">
        <v>4</v>
      </c>
      <c r="D68" s="150">
        <v>4</v>
      </c>
      <c r="E68" s="150" t="s">
        <v>233</v>
      </c>
      <c r="F68" s="150" t="s">
        <v>229</v>
      </c>
      <c r="G68" s="180">
        <v>63</v>
      </c>
      <c r="H68" s="150" t="s">
        <v>234</v>
      </c>
      <c r="I68" s="150" t="s">
        <v>136</v>
      </c>
      <c r="J68" s="150" t="s">
        <v>132</v>
      </c>
      <c r="K68" s="150" t="s">
        <v>132</v>
      </c>
      <c r="L68" s="150" t="s">
        <v>132</v>
      </c>
      <c r="M68" s="150" t="s">
        <v>132</v>
      </c>
      <c r="N68" s="150" t="s">
        <v>132</v>
      </c>
      <c r="O68" s="150" t="s">
        <v>132</v>
      </c>
      <c r="P68" s="150" t="s">
        <v>132</v>
      </c>
    </row>
    <row r="69" spans="1:16">
      <c r="A69" s="152">
        <v>68</v>
      </c>
      <c r="B69" s="150" t="s">
        <v>146</v>
      </c>
      <c r="C69" s="150">
        <v>5</v>
      </c>
      <c r="D69" s="150">
        <v>5</v>
      </c>
      <c r="E69" s="150" t="s">
        <v>231</v>
      </c>
      <c r="F69" s="150" t="s">
        <v>231</v>
      </c>
      <c r="G69" s="150">
        <v>63</v>
      </c>
      <c r="H69" s="150" t="s">
        <v>234</v>
      </c>
      <c r="I69" s="150" t="s">
        <v>136</v>
      </c>
      <c r="J69" s="151" t="s">
        <v>240</v>
      </c>
      <c r="K69" s="150" t="s">
        <v>240</v>
      </c>
      <c r="L69" s="150" t="s">
        <v>283</v>
      </c>
      <c r="M69" s="168">
        <v>99.44827181579025</v>
      </c>
      <c r="N69" s="168">
        <v>93.763502422718531</v>
      </c>
      <c r="O69" s="157">
        <v>18.989305630817192</v>
      </c>
      <c r="P69" s="157">
        <v>6.4041424364195532</v>
      </c>
    </row>
    <row r="70" spans="1:16">
      <c r="A70" s="152">
        <v>69</v>
      </c>
      <c r="B70" s="150" t="s">
        <v>146</v>
      </c>
      <c r="C70" s="150">
        <v>5</v>
      </c>
      <c r="D70" s="150">
        <v>5</v>
      </c>
      <c r="E70" s="150" t="s">
        <v>231</v>
      </c>
      <c r="F70" s="150" t="s">
        <v>231</v>
      </c>
      <c r="G70" s="150">
        <v>63</v>
      </c>
      <c r="H70" s="150" t="s">
        <v>234</v>
      </c>
      <c r="I70" s="150" t="s">
        <v>136</v>
      </c>
      <c r="J70" s="151" t="s">
        <v>239</v>
      </c>
      <c r="K70" s="150" t="s">
        <v>240</v>
      </c>
      <c r="L70" s="150" t="s">
        <v>283</v>
      </c>
      <c r="M70" s="168">
        <v>22.108477539558077</v>
      </c>
      <c r="N70" s="168">
        <v>29.714496943466674</v>
      </c>
      <c r="O70" s="157">
        <v>1.6947220412721931</v>
      </c>
      <c r="P70" s="157">
        <v>2.9561313948816093</v>
      </c>
    </row>
    <row r="71" spans="1:16">
      <c r="A71" s="152">
        <v>70</v>
      </c>
      <c r="B71" s="150" t="s">
        <v>146</v>
      </c>
      <c r="C71" s="150">
        <v>5</v>
      </c>
      <c r="D71" s="150">
        <v>5</v>
      </c>
      <c r="E71" s="150" t="s">
        <v>231</v>
      </c>
      <c r="F71" s="150" t="s">
        <v>231</v>
      </c>
      <c r="G71" s="150">
        <v>63</v>
      </c>
      <c r="H71" s="150" t="s">
        <v>234</v>
      </c>
      <c r="I71" s="150" t="s">
        <v>136</v>
      </c>
      <c r="J71" s="151" t="s">
        <v>239</v>
      </c>
      <c r="K71" s="150" t="s">
        <v>240</v>
      </c>
      <c r="L71" s="150" t="s">
        <v>283</v>
      </c>
      <c r="M71" s="168">
        <v>24.030199404987862</v>
      </c>
      <c r="N71" s="168">
        <v>27.365157789477259</v>
      </c>
      <c r="O71" s="157">
        <v>3.7682191347663263</v>
      </c>
      <c r="P71" s="157">
        <v>4.8821020546169569</v>
      </c>
    </row>
    <row r="72" spans="1:16">
      <c r="A72" s="152">
        <v>71</v>
      </c>
      <c r="B72" s="150" t="s">
        <v>146</v>
      </c>
      <c r="C72" s="150">
        <v>5</v>
      </c>
      <c r="D72" s="150">
        <v>5</v>
      </c>
      <c r="E72" s="150" t="s">
        <v>231</v>
      </c>
      <c r="F72" s="150" t="s">
        <v>231</v>
      </c>
      <c r="G72" s="150">
        <v>63</v>
      </c>
      <c r="H72" s="150" t="s">
        <v>234</v>
      </c>
      <c r="I72" s="150" t="s">
        <v>136</v>
      </c>
      <c r="J72" s="151" t="s">
        <v>239</v>
      </c>
      <c r="K72" s="150" t="s">
        <v>240</v>
      </c>
      <c r="L72" s="150" t="s">
        <v>283</v>
      </c>
      <c r="M72" s="168">
        <v>21.687113624521082</v>
      </c>
      <c r="N72" s="168">
        <v>24.528661833086357</v>
      </c>
      <c r="O72" s="157">
        <v>3.4607964569981364</v>
      </c>
      <c r="P72" s="157">
        <v>3.3969969920613114</v>
      </c>
    </row>
    <row r="73" spans="1:16">
      <c r="A73" s="152">
        <v>72</v>
      </c>
      <c r="B73" s="150" t="s">
        <v>146</v>
      </c>
      <c r="C73" s="150">
        <v>5</v>
      </c>
      <c r="D73" s="150">
        <v>5</v>
      </c>
      <c r="E73" s="150" t="s">
        <v>231</v>
      </c>
      <c r="F73" s="150" t="s">
        <v>231</v>
      </c>
      <c r="G73" s="150">
        <v>63</v>
      </c>
      <c r="H73" s="150" t="s">
        <v>234</v>
      </c>
      <c r="I73" s="150" t="s">
        <v>136</v>
      </c>
      <c r="J73" s="151" t="s">
        <v>239</v>
      </c>
      <c r="K73" s="150" t="s">
        <v>240</v>
      </c>
      <c r="L73" s="150" t="s">
        <v>283</v>
      </c>
      <c r="M73" s="168">
        <v>17.671254874266527</v>
      </c>
      <c r="N73" s="168">
        <v>23.443391791875605</v>
      </c>
      <c r="O73" s="157">
        <v>1.7635172290589713</v>
      </c>
      <c r="P73" s="157">
        <v>4.6237017544595496</v>
      </c>
    </row>
    <row r="74" spans="1:16">
      <c r="A74" s="152">
        <v>73</v>
      </c>
      <c r="B74" s="150" t="s">
        <v>146</v>
      </c>
      <c r="C74" s="150">
        <v>5</v>
      </c>
      <c r="D74" s="150">
        <v>5</v>
      </c>
      <c r="E74" s="150" t="s">
        <v>231</v>
      </c>
      <c r="F74" s="150" t="s">
        <v>231</v>
      </c>
      <c r="G74" s="150">
        <v>63</v>
      </c>
      <c r="H74" s="150" t="s">
        <v>234</v>
      </c>
      <c r="I74" s="150" t="s">
        <v>136</v>
      </c>
      <c r="J74" s="151" t="s">
        <v>240</v>
      </c>
      <c r="K74" s="151" t="s">
        <v>241</v>
      </c>
      <c r="L74" s="150" t="s">
        <v>283</v>
      </c>
      <c r="M74" s="168">
        <v>1710</v>
      </c>
      <c r="N74" s="168">
        <v>1412</v>
      </c>
      <c r="O74" s="157">
        <v>229.67368155711702</v>
      </c>
      <c r="P74" s="157">
        <v>232.31444208227779</v>
      </c>
    </row>
    <row r="75" spans="1:16">
      <c r="A75" s="152">
        <v>74</v>
      </c>
      <c r="B75" s="150" t="s">
        <v>146</v>
      </c>
      <c r="C75" s="150">
        <v>5</v>
      </c>
      <c r="D75" s="150">
        <v>5</v>
      </c>
      <c r="E75" s="150" t="s">
        <v>231</v>
      </c>
      <c r="F75" s="150" t="s">
        <v>231</v>
      </c>
      <c r="G75" s="150">
        <v>63</v>
      </c>
      <c r="H75" s="150" t="s">
        <v>234</v>
      </c>
      <c r="I75" s="150" t="s">
        <v>136</v>
      </c>
      <c r="J75" s="151" t="s">
        <v>239</v>
      </c>
      <c r="K75" s="151" t="s">
        <v>241</v>
      </c>
      <c r="L75" s="150" t="s">
        <v>283</v>
      </c>
      <c r="M75" s="168">
        <v>684</v>
      </c>
      <c r="N75" s="168">
        <v>556</v>
      </c>
      <c r="O75" s="157">
        <v>101.39033484509261</v>
      </c>
      <c r="P75" s="157">
        <v>49.79959839195493</v>
      </c>
    </row>
    <row r="76" spans="1:16">
      <c r="A76" s="152">
        <v>75</v>
      </c>
      <c r="B76" s="150" t="s">
        <v>146</v>
      </c>
      <c r="C76" s="150">
        <v>5</v>
      </c>
      <c r="D76" s="150">
        <v>5</v>
      </c>
      <c r="E76" s="150" t="s">
        <v>231</v>
      </c>
      <c r="F76" s="150" t="s">
        <v>231</v>
      </c>
      <c r="G76" s="150">
        <v>63</v>
      </c>
      <c r="H76" s="150" t="s">
        <v>234</v>
      </c>
      <c r="I76" s="150" t="s">
        <v>136</v>
      </c>
      <c r="J76" s="151" t="s">
        <v>239</v>
      </c>
      <c r="K76" s="151" t="s">
        <v>241</v>
      </c>
      <c r="L76" s="150" t="s">
        <v>283</v>
      </c>
      <c r="M76" s="168">
        <v>658</v>
      </c>
      <c r="N76" s="168">
        <v>538</v>
      </c>
      <c r="O76" s="157">
        <v>102.07840124139877</v>
      </c>
      <c r="P76" s="157">
        <v>54.497706373754852</v>
      </c>
    </row>
    <row r="77" spans="1:16">
      <c r="A77" s="152">
        <v>76</v>
      </c>
      <c r="B77" s="150" t="s">
        <v>146</v>
      </c>
      <c r="C77" s="150">
        <v>5</v>
      </c>
      <c r="D77" s="150">
        <v>5</v>
      </c>
      <c r="E77" s="150" t="s">
        <v>231</v>
      </c>
      <c r="F77" s="150" t="s">
        <v>231</v>
      </c>
      <c r="G77" s="150">
        <v>63</v>
      </c>
      <c r="H77" s="150" t="s">
        <v>234</v>
      </c>
      <c r="I77" s="150" t="s">
        <v>136</v>
      </c>
      <c r="J77" s="151" t="s">
        <v>239</v>
      </c>
      <c r="K77" s="151" t="s">
        <v>241</v>
      </c>
      <c r="L77" s="150" t="s">
        <v>283</v>
      </c>
      <c r="M77" s="168">
        <v>652</v>
      </c>
      <c r="N77" s="168">
        <v>518</v>
      </c>
      <c r="O77" s="157">
        <v>58.480766068853782</v>
      </c>
      <c r="P77" s="157">
        <v>94.973680564670133</v>
      </c>
    </row>
    <row r="78" spans="1:16">
      <c r="A78" s="152">
        <v>77</v>
      </c>
      <c r="B78" s="150" t="s">
        <v>146</v>
      </c>
      <c r="C78" s="150">
        <v>5</v>
      </c>
      <c r="D78" s="150">
        <v>5</v>
      </c>
      <c r="E78" s="150" t="s">
        <v>231</v>
      </c>
      <c r="F78" s="150" t="s">
        <v>231</v>
      </c>
      <c r="G78" s="150">
        <v>63</v>
      </c>
      <c r="H78" s="150" t="s">
        <v>234</v>
      </c>
      <c r="I78" s="150" t="s">
        <v>136</v>
      </c>
      <c r="J78" s="151" t="s">
        <v>239</v>
      </c>
      <c r="K78" s="151" t="s">
        <v>241</v>
      </c>
      <c r="L78" s="150" t="s">
        <v>283</v>
      </c>
      <c r="M78" s="168">
        <v>508</v>
      </c>
      <c r="N78" s="168">
        <v>440</v>
      </c>
      <c r="O78" s="157">
        <v>74.632432628181164</v>
      </c>
      <c r="P78" s="157">
        <v>57.879184513951124</v>
      </c>
    </row>
    <row r="79" spans="1:16">
      <c r="A79" s="152">
        <v>78</v>
      </c>
      <c r="B79" s="150" t="s">
        <v>147</v>
      </c>
      <c r="C79" s="150">
        <v>5</v>
      </c>
      <c r="D79" s="150">
        <v>5</v>
      </c>
      <c r="E79" s="150" t="s">
        <v>231</v>
      </c>
      <c r="F79" s="150" t="s">
        <v>231</v>
      </c>
      <c r="G79" s="150">
        <v>63</v>
      </c>
      <c r="H79" s="150" t="s">
        <v>234</v>
      </c>
      <c r="I79" s="150" t="s">
        <v>136</v>
      </c>
      <c r="J79" s="151" t="s">
        <v>240</v>
      </c>
      <c r="K79" s="150" t="s">
        <v>240</v>
      </c>
      <c r="L79" s="150" t="s">
        <v>283</v>
      </c>
      <c r="M79" s="171">
        <v>104.58899234346354</v>
      </c>
      <c r="N79" s="171">
        <v>65.516869753345901</v>
      </c>
      <c r="O79" s="171">
        <v>25.518544031212247</v>
      </c>
      <c r="P79" s="171">
        <v>9.3142854336409702</v>
      </c>
    </row>
    <row r="80" spans="1:16">
      <c r="A80" s="152">
        <v>79</v>
      </c>
      <c r="B80" s="150" t="s">
        <v>147</v>
      </c>
      <c r="C80" s="150">
        <v>5</v>
      </c>
      <c r="D80" s="150">
        <v>5</v>
      </c>
      <c r="E80" s="150" t="s">
        <v>231</v>
      </c>
      <c r="F80" s="150" t="s">
        <v>231</v>
      </c>
      <c r="G80" s="150">
        <v>63</v>
      </c>
      <c r="H80" s="150" t="s">
        <v>234</v>
      </c>
      <c r="I80" s="150" t="s">
        <v>136</v>
      </c>
      <c r="J80" s="151" t="s">
        <v>240</v>
      </c>
      <c r="K80" s="151" t="s">
        <v>241</v>
      </c>
      <c r="L80" s="150" t="s">
        <v>283</v>
      </c>
      <c r="M80" s="171">
        <v>820</v>
      </c>
      <c r="N80" s="171">
        <v>732</v>
      </c>
      <c r="O80" s="171">
        <v>125.89678312014172</v>
      </c>
      <c r="P80" s="171">
        <v>90.664215653145092</v>
      </c>
    </row>
    <row r="81" spans="1:16">
      <c r="A81" s="152">
        <v>80</v>
      </c>
      <c r="B81" s="150" t="s">
        <v>147</v>
      </c>
      <c r="C81" s="150">
        <v>5</v>
      </c>
      <c r="D81" s="150">
        <v>5</v>
      </c>
      <c r="E81" s="150" t="s">
        <v>231</v>
      </c>
      <c r="F81" s="150" t="s">
        <v>231</v>
      </c>
      <c r="G81" s="150">
        <v>63</v>
      </c>
      <c r="H81" s="150" t="s">
        <v>234</v>
      </c>
      <c r="I81" s="150" t="s">
        <v>136</v>
      </c>
      <c r="J81" s="151" t="s">
        <v>240</v>
      </c>
      <c r="K81" s="151" t="s">
        <v>241</v>
      </c>
      <c r="L81" s="150" t="s">
        <v>283</v>
      </c>
      <c r="M81" s="171">
        <v>1966</v>
      </c>
      <c r="N81" s="171">
        <v>1772</v>
      </c>
      <c r="O81" s="171">
        <v>199.19839356781972</v>
      </c>
      <c r="P81" s="171">
        <v>108.25894882179486</v>
      </c>
    </row>
    <row r="82" spans="1:16">
      <c r="A82" s="152">
        <v>81</v>
      </c>
      <c r="B82" s="150" t="s">
        <v>147</v>
      </c>
      <c r="C82" s="150">
        <v>5</v>
      </c>
      <c r="D82" s="150">
        <v>5</v>
      </c>
      <c r="E82" s="150" t="s">
        <v>231</v>
      </c>
      <c r="F82" s="150" t="s">
        <v>231</v>
      </c>
      <c r="G82" s="150">
        <v>63</v>
      </c>
      <c r="H82" s="150" t="s">
        <v>234</v>
      </c>
      <c r="I82" s="150" t="s">
        <v>136</v>
      </c>
      <c r="J82" s="151" t="s">
        <v>240</v>
      </c>
      <c r="K82" s="151" t="s">
        <v>241</v>
      </c>
      <c r="L82" s="150" t="s">
        <v>283</v>
      </c>
      <c r="M82" s="171">
        <v>3640</v>
      </c>
      <c r="N82" s="171">
        <v>3740</v>
      </c>
      <c r="O82" s="171">
        <v>409.87803063838396</v>
      </c>
      <c r="P82" s="171">
        <v>820.36577207974733</v>
      </c>
    </row>
    <row r="83" spans="1:16">
      <c r="A83" s="152">
        <v>82</v>
      </c>
      <c r="B83" s="150" t="s">
        <v>147</v>
      </c>
      <c r="C83" s="150">
        <v>5</v>
      </c>
      <c r="D83" s="150">
        <v>5</v>
      </c>
      <c r="E83" s="150" t="s">
        <v>231</v>
      </c>
      <c r="F83" s="150" t="s">
        <v>231</v>
      </c>
      <c r="G83" s="150">
        <v>63</v>
      </c>
      <c r="H83" s="150" t="s">
        <v>234</v>
      </c>
      <c r="I83" s="150" t="s">
        <v>136</v>
      </c>
      <c r="J83" s="151" t="s">
        <v>240</v>
      </c>
      <c r="K83" s="151" t="s">
        <v>241</v>
      </c>
      <c r="L83" s="150" t="s">
        <v>283</v>
      </c>
      <c r="M83" s="171">
        <v>4960</v>
      </c>
      <c r="N83" s="171">
        <v>5640</v>
      </c>
      <c r="O83" s="171">
        <v>450.55521304275237</v>
      </c>
      <c r="P83" s="171">
        <v>1003.9920318408906</v>
      </c>
    </row>
    <row r="84" spans="1:16">
      <c r="A84" s="152">
        <v>83</v>
      </c>
      <c r="B84" s="150" t="s">
        <v>147</v>
      </c>
      <c r="C84" s="150">
        <v>5</v>
      </c>
      <c r="D84" s="150">
        <v>5</v>
      </c>
      <c r="E84" s="150" t="s">
        <v>231</v>
      </c>
      <c r="F84" s="150" t="s">
        <v>231</v>
      </c>
      <c r="G84" s="150">
        <v>63</v>
      </c>
      <c r="H84" s="150" t="s">
        <v>234</v>
      </c>
      <c r="I84" s="150" t="s">
        <v>136</v>
      </c>
      <c r="J84" s="151" t="s">
        <v>239</v>
      </c>
      <c r="K84" s="150" t="s">
        <v>240</v>
      </c>
      <c r="L84" s="150" t="s">
        <v>283</v>
      </c>
      <c r="M84" s="171">
        <v>40.728454919912068</v>
      </c>
      <c r="N84" s="171">
        <v>35.060501887354569</v>
      </c>
      <c r="O84" s="171">
        <v>5.1568333898407834</v>
      </c>
      <c r="P84" s="171">
        <v>3.0156506890976176</v>
      </c>
    </row>
    <row r="85" spans="1:16">
      <c r="A85" s="152">
        <v>84</v>
      </c>
      <c r="B85" s="150" t="s">
        <v>147</v>
      </c>
      <c r="C85" s="150">
        <v>5</v>
      </c>
      <c r="D85" s="150">
        <v>5</v>
      </c>
      <c r="E85" s="150" t="s">
        <v>231</v>
      </c>
      <c r="F85" s="150" t="s">
        <v>231</v>
      </c>
      <c r="G85" s="150">
        <v>63</v>
      </c>
      <c r="H85" s="150" t="s">
        <v>234</v>
      </c>
      <c r="I85" s="150" t="s">
        <v>136</v>
      </c>
      <c r="J85" s="151" t="s">
        <v>239</v>
      </c>
      <c r="K85" s="151" t="s">
        <v>241</v>
      </c>
      <c r="L85" s="150" t="s">
        <v>283</v>
      </c>
      <c r="M85" s="171">
        <v>478</v>
      </c>
      <c r="N85" s="171">
        <v>346</v>
      </c>
      <c r="O85" s="171">
        <v>158.01898620102585</v>
      </c>
      <c r="P85" s="171">
        <v>24.083189157584592</v>
      </c>
    </row>
    <row r="86" spans="1:16">
      <c r="A86" s="152">
        <v>85</v>
      </c>
      <c r="B86" s="150" t="s">
        <v>147</v>
      </c>
      <c r="C86" s="150">
        <v>5</v>
      </c>
      <c r="D86" s="150">
        <v>5</v>
      </c>
      <c r="E86" s="150" t="s">
        <v>231</v>
      </c>
      <c r="F86" s="150" t="s">
        <v>231</v>
      </c>
      <c r="G86" s="150">
        <v>63</v>
      </c>
      <c r="H86" s="150" t="s">
        <v>234</v>
      </c>
      <c r="I86" s="150" t="s">
        <v>136</v>
      </c>
      <c r="J86" s="151" t="s">
        <v>239</v>
      </c>
      <c r="K86" s="151" t="s">
        <v>241</v>
      </c>
      <c r="L86" s="150" t="s">
        <v>283</v>
      </c>
      <c r="M86" s="171">
        <v>926</v>
      </c>
      <c r="N86" s="171">
        <v>812</v>
      </c>
      <c r="O86" s="171">
        <v>80.808415403347695</v>
      </c>
      <c r="P86" s="171">
        <v>117.77096416349829</v>
      </c>
    </row>
    <row r="87" spans="1:16">
      <c r="A87" s="152">
        <v>86</v>
      </c>
      <c r="B87" s="150" t="s">
        <v>147</v>
      </c>
      <c r="C87" s="150">
        <v>5</v>
      </c>
      <c r="D87" s="150">
        <v>5</v>
      </c>
      <c r="E87" s="150" t="s">
        <v>231</v>
      </c>
      <c r="F87" s="150" t="s">
        <v>231</v>
      </c>
      <c r="G87" s="150">
        <v>63</v>
      </c>
      <c r="H87" s="150" t="s">
        <v>234</v>
      </c>
      <c r="I87" s="150" t="s">
        <v>136</v>
      </c>
      <c r="J87" s="151" t="s">
        <v>239</v>
      </c>
      <c r="K87" s="151" t="s">
        <v>241</v>
      </c>
      <c r="L87" s="150" t="s">
        <v>283</v>
      </c>
      <c r="M87" s="171">
        <v>1488</v>
      </c>
      <c r="N87" s="171">
        <v>1360</v>
      </c>
      <c r="O87" s="171">
        <v>105.45141061171255</v>
      </c>
      <c r="P87" s="171">
        <v>184.79718612576329</v>
      </c>
    </row>
    <row r="88" spans="1:16">
      <c r="A88" s="152">
        <v>87</v>
      </c>
      <c r="B88" s="150" t="s">
        <v>147</v>
      </c>
      <c r="C88" s="150">
        <v>5</v>
      </c>
      <c r="D88" s="150">
        <v>5</v>
      </c>
      <c r="E88" s="150" t="s">
        <v>231</v>
      </c>
      <c r="F88" s="150" t="s">
        <v>231</v>
      </c>
      <c r="G88" s="150">
        <v>63</v>
      </c>
      <c r="H88" s="150" t="s">
        <v>234</v>
      </c>
      <c r="I88" s="150" t="s">
        <v>136</v>
      </c>
      <c r="J88" s="151" t="s">
        <v>239</v>
      </c>
      <c r="K88" s="151" t="s">
        <v>241</v>
      </c>
      <c r="L88" s="150" t="s">
        <v>283</v>
      </c>
      <c r="M88" s="171">
        <v>2340</v>
      </c>
      <c r="N88" s="171">
        <v>2520</v>
      </c>
      <c r="O88" s="171">
        <v>167.33200530681512</v>
      </c>
      <c r="P88" s="171">
        <v>303.31501776206204</v>
      </c>
    </row>
    <row r="89" spans="1:16">
      <c r="A89" s="152">
        <v>88</v>
      </c>
      <c r="B89" s="150" t="s">
        <v>148</v>
      </c>
      <c r="C89" s="150">
        <v>5</v>
      </c>
      <c r="D89" s="150">
        <v>5</v>
      </c>
      <c r="E89" s="150" t="s">
        <v>231</v>
      </c>
      <c r="F89" s="150" t="s">
        <v>231</v>
      </c>
      <c r="G89" s="150">
        <v>56</v>
      </c>
      <c r="H89" s="150" t="s">
        <v>234</v>
      </c>
      <c r="I89" s="150" t="s">
        <v>136</v>
      </c>
      <c r="J89" s="151" t="s">
        <v>239</v>
      </c>
      <c r="K89" s="151" t="s">
        <v>241</v>
      </c>
      <c r="L89" s="150" t="s">
        <v>283</v>
      </c>
      <c r="M89" s="176">
        <v>155.33767490054527</v>
      </c>
      <c r="N89" s="176">
        <v>115.81206307291677</v>
      </c>
      <c r="O89" s="167">
        <v>4.0767977630991989</v>
      </c>
      <c r="P89" s="167">
        <v>8.0401246912763202</v>
      </c>
    </row>
    <row r="90" spans="1:16">
      <c r="A90" s="152">
        <v>89</v>
      </c>
      <c r="B90" s="150" t="s">
        <v>148</v>
      </c>
      <c r="C90" s="150">
        <v>5</v>
      </c>
      <c r="D90" s="150">
        <v>5</v>
      </c>
      <c r="E90" s="150" t="s">
        <v>231</v>
      </c>
      <c r="F90" s="150" t="s">
        <v>231</v>
      </c>
      <c r="G90" s="150">
        <v>56</v>
      </c>
      <c r="H90" s="150" t="s">
        <v>234</v>
      </c>
      <c r="I90" s="150" t="s">
        <v>136</v>
      </c>
      <c r="J90" s="151" t="s">
        <v>239</v>
      </c>
      <c r="K90" s="151" t="s">
        <v>241</v>
      </c>
      <c r="L90" s="150" t="s">
        <v>283</v>
      </c>
      <c r="M90" s="176">
        <v>146.98259039100731</v>
      </c>
      <c r="N90" s="176">
        <v>126.22013475016266</v>
      </c>
      <c r="O90" s="167">
        <v>12.983086871667036</v>
      </c>
      <c r="P90" s="167">
        <v>13.431719825987237</v>
      </c>
    </row>
    <row r="91" spans="1:16">
      <c r="A91" s="152">
        <v>90</v>
      </c>
      <c r="B91" s="150" t="s">
        <v>148</v>
      </c>
      <c r="C91" s="150">
        <v>5</v>
      </c>
      <c r="D91" s="150">
        <v>5</v>
      </c>
      <c r="E91" s="150" t="s">
        <v>231</v>
      </c>
      <c r="F91" s="150" t="s">
        <v>231</v>
      </c>
      <c r="G91" s="150">
        <v>56</v>
      </c>
      <c r="H91" s="150" t="s">
        <v>234</v>
      </c>
      <c r="I91" s="150" t="s">
        <v>136</v>
      </c>
      <c r="J91" s="151" t="s">
        <v>239</v>
      </c>
      <c r="K91" s="151" t="s">
        <v>241</v>
      </c>
      <c r="L91" s="150" t="s">
        <v>283</v>
      </c>
      <c r="M91" s="176">
        <v>137.06565141180155</v>
      </c>
      <c r="N91" s="176">
        <v>111.06381090078017</v>
      </c>
      <c r="O91" s="167">
        <v>12.2434743169136</v>
      </c>
      <c r="P91" s="167">
        <v>6.3925149257274052</v>
      </c>
    </row>
    <row r="92" spans="1:16">
      <c r="A92" s="152">
        <v>91</v>
      </c>
      <c r="B92" s="150" t="s">
        <v>148</v>
      </c>
      <c r="C92" s="150">
        <v>5</v>
      </c>
      <c r="D92" s="150">
        <v>5</v>
      </c>
      <c r="E92" s="150" t="s">
        <v>231</v>
      </c>
      <c r="F92" s="150" t="s">
        <v>231</v>
      </c>
      <c r="G92" s="150">
        <v>56</v>
      </c>
      <c r="H92" s="150" t="s">
        <v>234</v>
      </c>
      <c r="I92" s="150" t="s">
        <v>136</v>
      </c>
      <c r="J92" s="151" t="s">
        <v>239</v>
      </c>
      <c r="K92" s="151" t="s">
        <v>241</v>
      </c>
      <c r="L92" s="150" t="s">
        <v>283</v>
      </c>
      <c r="M92" s="176">
        <v>117.60376949131003</v>
      </c>
      <c r="N92" s="176">
        <v>90.928005300000251</v>
      </c>
      <c r="O92" s="167">
        <v>6.0426397348014804</v>
      </c>
      <c r="P92" s="167">
        <v>3.091022864562023</v>
      </c>
    </row>
    <row r="93" spans="1:16">
      <c r="A93" s="152">
        <v>92</v>
      </c>
      <c r="B93" s="150" t="s">
        <v>148</v>
      </c>
      <c r="C93" s="150">
        <v>5</v>
      </c>
      <c r="D93" s="150">
        <v>5</v>
      </c>
      <c r="E93" s="150" t="s">
        <v>231</v>
      </c>
      <c r="F93" s="150" t="s">
        <v>231</v>
      </c>
      <c r="G93" s="150">
        <v>56</v>
      </c>
      <c r="H93" s="150" t="s">
        <v>234</v>
      </c>
      <c r="I93" s="150" t="s">
        <v>136</v>
      </c>
      <c r="J93" s="151" t="s">
        <v>239</v>
      </c>
      <c r="K93" s="151" t="s">
        <v>241</v>
      </c>
      <c r="L93" s="150" t="s">
        <v>283</v>
      </c>
      <c r="M93" s="176">
        <v>131.9558515594691</v>
      </c>
      <c r="N93" s="176">
        <v>102.42542467264809</v>
      </c>
      <c r="O93" s="167">
        <v>7.2473477342467127</v>
      </c>
      <c r="P93" s="167">
        <v>3.0176168550919114</v>
      </c>
    </row>
    <row r="94" spans="1:16">
      <c r="A94" s="152">
        <v>93</v>
      </c>
      <c r="B94" s="150" t="s">
        <v>148</v>
      </c>
      <c r="C94" s="150">
        <v>5</v>
      </c>
      <c r="D94" s="150">
        <v>5</v>
      </c>
      <c r="E94" s="150" t="s">
        <v>231</v>
      </c>
      <c r="F94" s="150" t="s">
        <v>231</v>
      </c>
      <c r="G94" s="150">
        <v>56</v>
      </c>
      <c r="H94" s="150" t="s">
        <v>234</v>
      </c>
      <c r="I94" s="150" t="s">
        <v>136</v>
      </c>
      <c r="J94" s="151" t="s">
        <v>239</v>
      </c>
      <c r="K94" s="151" t="s">
        <v>241</v>
      </c>
      <c r="L94" s="150" t="s">
        <v>283</v>
      </c>
      <c r="M94" s="176">
        <v>165.1677701445075</v>
      </c>
      <c r="N94" s="176">
        <v>141.95707314207067</v>
      </c>
      <c r="O94" s="167">
        <v>11.285319546131563</v>
      </c>
      <c r="P94" s="167">
        <v>3.9419577641096888</v>
      </c>
    </row>
    <row r="95" spans="1:16">
      <c r="A95" s="152">
        <v>94</v>
      </c>
      <c r="B95" s="150" t="s">
        <v>149</v>
      </c>
      <c r="C95" s="150">
        <v>6</v>
      </c>
      <c r="D95" s="150">
        <v>6</v>
      </c>
      <c r="E95" s="150" t="s">
        <v>231</v>
      </c>
      <c r="F95" s="150" t="s">
        <v>231</v>
      </c>
      <c r="G95" s="150">
        <v>36</v>
      </c>
      <c r="H95" s="150" t="s">
        <v>234</v>
      </c>
      <c r="I95" s="150" t="s">
        <v>137</v>
      </c>
      <c r="J95" s="150" t="s">
        <v>132</v>
      </c>
      <c r="K95" s="150" t="s">
        <v>132</v>
      </c>
      <c r="L95" s="150" t="s">
        <v>283</v>
      </c>
      <c r="M95" s="150" t="s">
        <v>132</v>
      </c>
      <c r="N95" s="150" t="s">
        <v>132</v>
      </c>
      <c r="O95" s="150" t="s">
        <v>132</v>
      </c>
      <c r="P95" s="150" t="s">
        <v>132</v>
      </c>
    </row>
    <row r="96" spans="1:16">
      <c r="A96" s="152">
        <v>95</v>
      </c>
      <c r="B96" s="150" t="s">
        <v>150</v>
      </c>
      <c r="C96" s="150">
        <v>4</v>
      </c>
      <c r="D96" s="150">
        <v>4</v>
      </c>
      <c r="E96" s="150" t="s">
        <v>233</v>
      </c>
      <c r="F96" s="150" t="s">
        <v>229</v>
      </c>
      <c r="G96" s="150">
        <v>7</v>
      </c>
      <c r="H96" s="150" t="s">
        <v>235</v>
      </c>
      <c r="I96" s="150" t="s">
        <v>136</v>
      </c>
      <c r="J96" s="150" t="s">
        <v>132</v>
      </c>
      <c r="K96" s="150" t="s">
        <v>132</v>
      </c>
      <c r="L96" s="150" t="s">
        <v>132</v>
      </c>
      <c r="M96" s="150" t="s">
        <v>132</v>
      </c>
      <c r="N96" s="150" t="s">
        <v>132</v>
      </c>
      <c r="O96" s="150" t="s">
        <v>132</v>
      </c>
      <c r="P96" s="150" t="s">
        <v>132</v>
      </c>
    </row>
    <row r="97" spans="1:16">
      <c r="A97" s="152">
        <v>96</v>
      </c>
      <c r="B97" s="150" t="s">
        <v>150</v>
      </c>
      <c r="C97" s="150">
        <v>4</v>
      </c>
      <c r="D97" s="150">
        <v>4</v>
      </c>
      <c r="E97" s="150" t="s">
        <v>233</v>
      </c>
      <c r="F97" s="150" t="s">
        <v>228</v>
      </c>
      <c r="G97" s="150">
        <v>14</v>
      </c>
      <c r="H97" s="150" t="s">
        <v>235</v>
      </c>
      <c r="I97" s="150" t="s">
        <v>136</v>
      </c>
      <c r="J97" s="150" t="s">
        <v>132</v>
      </c>
      <c r="K97" s="150" t="s">
        <v>132</v>
      </c>
      <c r="L97" s="150" t="s">
        <v>132</v>
      </c>
      <c r="M97" s="150" t="s">
        <v>132</v>
      </c>
      <c r="N97" s="150" t="s">
        <v>132</v>
      </c>
      <c r="O97" s="150" t="s">
        <v>132</v>
      </c>
      <c r="P97" s="150" t="s">
        <v>132</v>
      </c>
    </row>
    <row r="98" spans="1:16">
      <c r="A98" s="152">
        <v>97</v>
      </c>
      <c r="B98" s="150" t="s">
        <v>150</v>
      </c>
      <c r="C98" s="150">
        <v>4</v>
      </c>
      <c r="D98" s="150">
        <v>4</v>
      </c>
      <c r="E98" s="150" t="s">
        <v>233</v>
      </c>
      <c r="F98" s="150" t="s">
        <v>230</v>
      </c>
      <c r="G98" s="150">
        <v>21</v>
      </c>
      <c r="H98" s="150" t="s">
        <v>235</v>
      </c>
      <c r="I98" s="150" t="s">
        <v>136</v>
      </c>
      <c r="J98" s="150" t="s">
        <v>132</v>
      </c>
      <c r="K98" s="150" t="s">
        <v>132</v>
      </c>
      <c r="L98" s="150" t="s">
        <v>132</v>
      </c>
      <c r="M98" s="150" t="s">
        <v>132</v>
      </c>
      <c r="N98" s="150" t="s">
        <v>132</v>
      </c>
      <c r="O98" s="150" t="s">
        <v>132</v>
      </c>
      <c r="P98" s="150" t="s">
        <v>132</v>
      </c>
    </row>
    <row r="99" spans="1:16">
      <c r="A99" s="152">
        <v>98</v>
      </c>
      <c r="B99" s="150" t="s">
        <v>151</v>
      </c>
      <c r="C99" s="150">
        <v>10</v>
      </c>
      <c r="D99" s="150">
        <v>10</v>
      </c>
      <c r="E99" s="150" t="s">
        <v>231</v>
      </c>
      <c r="F99" s="150" t="s">
        <v>231</v>
      </c>
      <c r="G99" s="150">
        <v>84</v>
      </c>
      <c r="H99" s="150" t="s">
        <v>235</v>
      </c>
      <c r="I99" s="150" t="s">
        <v>136</v>
      </c>
      <c r="J99" s="150" t="s">
        <v>132</v>
      </c>
      <c r="K99" s="150" t="s">
        <v>132</v>
      </c>
      <c r="L99" s="150" t="s">
        <v>132</v>
      </c>
      <c r="M99" s="150" t="s">
        <v>132</v>
      </c>
      <c r="N99" s="150" t="s">
        <v>132</v>
      </c>
      <c r="O99" s="150" t="s">
        <v>132</v>
      </c>
      <c r="P99" s="150" t="s">
        <v>132</v>
      </c>
    </row>
    <row r="100" spans="1:16">
      <c r="A100" s="152">
        <v>99</v>
      </c>
      <c r="B100" s="150" t="s">
        <v>152</v>
      </c>
      <c r="C100" s="150">
        <v>3</v>
      </c>
      <c r="D100" s="150">
        <v>4</v>
      </c>
      <c r="E100" s="150" t="s">
        <v>231</v>
      </c>
      <c r="F100" s="150" t="s">
        <v>231</v>
      </c>
      <c r="G100" s="150">
        <v>70</v>
      </c>
      <c r="H100" s="150" t="s">
        <v>235</v>
      </c>
      <c r="I100" s="150" t="s">
        <v>136</v>
      </c>
      <c r="J100" s="150" t="s">
        <v>132</v>
      </c>
      <c r="K100" s="150" t="s">
        <v>132</v>
      </c>
      <c r="L100" s="150" t="s">
        <v>132</v>
      </c>
      <c r="M100" s="150" t="s">
        <v>132</v>
      </c>
      <c r="N100" s="150" t="s">
        <v>132</v>
      </c>
      <c r="O100" s="150" t="s">
        <v>132</v>
      </c>
      <c r="P100" s="150" t="s">
        <v>132</v>
      </c>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11"/>
  <sheetViews>
    <sheetView workbookViewId="0">
      <selection sqref="A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0.83203125" style="150"/>
    <col min="13" max="13" width="9.83203125" style="150" bestFit="1" customWidth="1"/>
    <col min="14" max="14" width="12.6640625" style="150" bestFit="1" customWidth="1"/>
    <col min="15" max="16" width="11.6640625" style="150"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166</v>
      </c>
      <c r="M1" s="150" t="s">
        <v>167</v>
      </c>
      <c r="N1" s="150" t="s">
        <v>168</v>
      </c>
      <c r="O1" s="150" t="s">
        <v>169</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6">
        <v>53.425822064000002</v>
      </c>
      <c r="M4" s="156">
        <v>125.398835674</v>
      </c>
      <c r="N4" s="156">
        <v>7.1360122297603974</v>
      </c>
      <c r="O4" s="156">
        <v>25.747735092785447</v>
      </c>
      <c r="P4"/>
    </row>
    <row r="5" spans="1:16">
      <c r="A5" s="150" t="s">
        <v>120</v>
      </c>
      <c r="B5" s="150">
        <v>5</v>
      </c>
      <c r="C5" s="150">
        <v>5</v>
      </c>
      <c r="D5" s="150" t="s">
        <v>231</v>
      </c>
      <c r="E5" s="150" t="s">
        <v>231</v>
      </c>
      <c r="F5" s="150">
        <v>63</v>
      </c>
      <c r="G5" s="150" t="s">
        <v>234</v>
      </c>
      <c r="H5" s="150" t="s">
        <v>136</v>
      </c>
      <c r="I5" s="150" t="s">
        <v>239</v>
      </c>
      <c r="J5" s="150" t="s">
        <v>239</v>
      </c>
      <c r="K5" s="150" t="s">
        <v>284</v>
      </c>
      <c r="L5" s="156">
        <v>349.84350968000001</v>
      </c>
      <c r="M5" s="156">
        <v>321.84212062</v>
      </c>
      <c r="N5" s="156">
        <v>99.520534847992607</v>
      </c>
      <c r="O5" s="156">
        <v>30.804815141426147</v>
      </c>
      <c r="P5"/>
    </row>
    <row r="6" spans="1:16">
      <c r="A6" s="150" t="s">
        <v>120</v>
      </c>
      <c r="B6" s="150">
        <v>5</v>
      </c>
      <c r="C6" s="150">
        <v>5</v>
      </c>
      <c r="D6" s="150" t="s">
        <v>231</v>
      </c>
      <c r="E6" s="150" t="s">
        <v>231</v>
      </c>
      <c r="F6" s="150">
        <v>63</v>
      </c>
      <c r="G6" s="150" t="s">
        <v>234</v>
      </c>
      <c r="H6" s="150" t="s">
        <v>136</v>
      </c>
      <c r="I6" s="150" t="s">
        <v>239</v>
      </c>
      <c r="J6" s="150" t="s">
        <v>239</v>
      </c>
      <c r="K6" s="150" t="s">
        <v>284</v>
      </c>
      <c r="L6" s="156">
        <v>1161.3521416000001</v>
      </c>
      <c r="M6" s="156">
        <v>1039.1521545600001</v>
      </c>
      <c r="N6" s="156">
        <v>39.131400915025587</v>
      </c>
      <c r="O6" s="156">
        <v>92.81963080760157</v>
      </c>
      <c r="P6"/>
    </row>
    <row r="7" spans="1:16">
      <c r="A7" s="150" t="s">
        <v>120</v>
      </c>
      <c r="B7" s="150">
        <v>5</v>
      </c>
      <c r="C7" s="150">
        <v>5</v>
      </c>
      <c r="D7" s="150" t="s">
        <v>231</v>
      </c>
      <c r="E7" s="150" t="s">
        <v>231</v>
      </c>
      <c r="F7" s="150">
        <v>63</v>
      </c>
      <c r="G7" s="150" t="s">
        <v>234</v>
      </c>
      <c r="H7" s="150" t="s">
        <v>136</v>
      </c>
      <c r="I7" s="150" t="s">
        <v>239</v>
      </c>
      <c r="J7" s="150" t="s">
        <v>239</v>
      </c>
      <c r="K7" s="150" t="s">
        <v>284</v>
      </c>
      <c r="L7" s="156">
        <v>42.238170246000003</v>
      </c>
      <c r="M7" s="156">
        <v>69.142090576000001</v>
      </c>
      <c r="N7" s="156">
        <v>8.5629691889074486</v>
      </c>
      <c r="O7" s="156">
        <v>40.9036667518616</v>
      </c>
      <c r="P7"/>
    </row>
    <row r="8" spans="1:16">
      <c r="A8" s="150" t="s">
        <v>120</v>
      </c>
      <c r="B8" s="150">
        <v>5</v>
      </c>
      <c r="C8" s="150">
        <v>5</v>
      </c>
      <c r="D8" s="150" t="s">
        <v>231</v>
      </c>
      <c r="E8" s="150" t="s">
        <v>231</v>
      </c>
      <c r="F8" s="150">
        <v>63</v>
      </c>
      <c r="G8" s="150" t="s">
        <v>234</v>
      </c>
      <c r="H8" s="150" t="s">
        <v>136</v>
      </c>
      <c r="I8" s="150" t="s">
        <v>239</v>
      </c>
      <c r="J8" s="150" t="s">
        <v>239</v>
      </c>
      <c r="K8" s="150" t="s">
        <v>284</v>
      </c>
      <c r="L8" s="156">
        <v>122.67633798999999</v>
      </c>
      <c r="M8" s="156">
        <v>140.73507838</v>
      </c>
      <c r="N8" s="156">
        <v>33.471360359389614</v>
      </c>
      <c r="O8" s="156">
        <v>36.106357469367474</v>
      </c>
      <c r="P8"/>
    </row>
    <row r="9" spans="1:16">
      <c r="A9" s="150" t="s">
        <v>120</v>
      </c>
      <c r="B9" s="150">
        <v>5</v>
      </c>
      <c r="C9" s="150">
        <v>5</v>
      </c>
      <c r="D9" s="150" t="s">
        <v>231</v>
      </c>
      <c r="E9" s="150" t="s">
        <v>231</v>
      </c>
      <c r="F9" s="150">
        <v>63</v>
      </c>
      <c r="G9" s="150" t="s">
        <v>234</v>
      </c>
      <c r="H9" s="150" t="s">
        <v>136</v>
      </c>
      <c r="I9" s="150" t="s">
        <v>239</v>
      </c>
      <c r="J9" s="150" t="s">
        <v>239</v>
      </c>
      <c r="K9" s="150" t="s">
        <v>284</v>
      </c>
      <c r="L9" s="156">
        <v>605.05067087999998</v>
      </c>
      <c r="M9" s="156">
        <v>532.03354135999996</v>
      </c>
      <c r="N9" s="156">
        <v>85.870171094686398</v>
      </c>
      <c r="O9" s="156">
        <v>76.790045858058406</v>
      </c>
      <c r="P9"/>
    </row>
    <row r="10" spans="1:16">
      <c r="A10" s="150" t="s">
        <v>130</v>
      </c>
      <c r="B10" s="150">
        <v>6</v>
      </c>
      <c r="C10" s="150">
        <v>6</v>
      </c>
      <c r="D10" s="150" t="s">
        <v>231</v>
      </c>
      <c r="E10" s="150" t="s">
        <v>231</v>
      </c>
      <c r="F10" s="150">
        <v>63</v>
      </c>
      <c r="G10" s="150" t="s">
        <v>234</v>
      </c>
      <c r="H10" s="150" t="s">
        <v>136</v>
      </c>
      <c r="I10" s="150" t="s">
        <v>239</v>
      </c>
      <c r="J10" s="150" t="s">
        <v>239</v>
      </c>
      <c r="K10" s="150" t="s">
        <v>283</v>
      </c>
      <c r="L10" s="157">
        <v>111.53961894741389</v>
      </c>
      <c r="M10" s="157">
        <v>92.449528650328674</v>
      </c>
      <c r="N10" s="156">
        <v>30.501998126749488</v>
      </c>
      <c r="O10" s="156">
        <v>42.874025612797119</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57">
        <v>132.75403535022392</v>
      </c>
      <c r="M11" s="157">
        <v>264.23737311093248</v>
      </c>
      <c r="N11" s="156">
        <v>46.411755032809047</v>
      </c>
      <c r="O11" s="156">
        <v>71.92299300650086</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57">
        <v>100.81292192777818</v>
      </c>
      <c r="M12" s="157">
        <v>196.50266519420691</v>
      </c>
      <c r="N12" s="156">
        <v>28.343446760542342</v>
      </c>
      <c r="O12" s="156">
        <v>83.124942351524439</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57">
        <v>63.794866922325212</v>
      </c>
      <c r="M13" s="157">
        <v>208.90762684548403</v>
      </c>
      <c r="N13" s="156">
        <v>24.193059212264906</v>
      </c>
      <c r="O13" s="156">
        <v>59.214438197043371</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50" t="s">
        <v>132</v>
      </c>
      <c r="M21" s="150" t="s">
        <v>132</v>
      </c>
      <c r="N21" s="150" t="s">
        <v>132</v>
      </c>
      <c r="O21" s="150" t="s">
        <v>132</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50" t="s">
        <v>132</v>
      </c>
      <c r="M22" s="150" t="s">
        <v>132</v>
      </c>
      <c r="N22" s="150" t="s">
        <v>132</v>
      </c>
      <c r="O22" s="150" t="s">
        <v>132</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50" t="s">
        <v>132</v>
      </c>
      <c r="M23" s="150" t="s">
        <v>132</v>
      </c>
      <c r="N23" s="150" t="s">
        <v>132</v>
      </c>
      <c r="O23" s="150" t="s">
        <v>132</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50" t="s">
        <v>132</v>
      </c>
      <c r="M24" s="150" t="s">
        <v>132</v>
      </c>
      <c r="N24" s="150" t="s">
        <v>132</v>
      </c>
      <c r="O24" s="150" t="s">
        <v>132</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0">
        <v>45.9</v>
      </c>
      <c r="M25" s="150">
        <v>99.9</v>
      </c>
      <c r="N25" s="150">
        <v>2.2999999999999998</v>
      </c>
      <c r="O25" s="150">
        <v>9.99</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50" t="s">
        <v>132</v>
      </c>
      <c r="M26" s="150" t="s">
        <v>132</v>
      </c>
      <c r="N26" s="150" t="s">
        <v>132</v>
      </c>
      <c r="O26" s="150" t="s">
        <v>132</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50" t="s">
        <v>132</v>
      </c>
      <c r="M27" s="150" t="s">
        <v>132</v>
      </c>
      <c r="N27" s="150" t="s">
        <v>132</v>
      </c>
      <c r="O27" s="150" t="s">
        <v>132</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50" t="s">
        <v>132</v>
      </c>
      <c r="M28" s="150" t="s">
        <v>132</v>
      </c>
      <c r="N28" s="150" t="s">
        <v>132</v>
      </c>
      <c r="O28" s="150" t="s">
        <v>132</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50" t="s">
        <v>132</v>
      </c>
      <c r="M29" s="150" t="s">
        <v>132</v>
      </c>
      <c r="N29" s="150" t="s">
        <v>132</v>
      </c>
      <c r="O29" s="150" t="s">
        <v>132</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57">
        <v>110.71323732305271</v>
      </c>
      <c r="M69" s="157">
        <v>155.35936463061375</v>
      </c>
      <c r="N69" s="157">
        <v>15.776908704961143</v>
      </c>
      <c r="O69" s="157">
        <v>34.333782309934811</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57">
        <v>28.553521320402769</v>
      </c>
      <c r="M70" s="157">
        <v>47.08422272659827</v>
      </c>
      <c r="N70" s="157">
        <v>7.9313727826497367</v>
      </c>
      <c r="O70" s="157">
        <v>9.3611904477154493</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57">
        <v>37.40212262595891</v>
      </c>
      <c r="M71" s="157">
        <v>35.666584437482904</v>
      </c>
      <c r="N71" s="157">
        <v>18.529132864184934</v>
      </c>
      <c r="O71" s="157">
        <v>3.4870277091900785</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57">
        <v>32.170260754206602</v>
      </c>
      <c r="M72" s="157">
        <v>42.162546380678492</v>
      </c>
      <c r="N72" s="157">
        <v>8.5189783436977073</v>
      </c>
      <c r="O72" s="157">
        <v>8.3968795838814234</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57">
        <v>32.16021451446786</v>
      </c>
      <c r="M73" s="157">
        <v>31.193269689354942</v>
      </c>
      <c r="N73" s="157">
        <v>9.8541820620870091</v>
      </c>
      <c r="O73" s="157">
        <v>10.697349596120551</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57">
        <v>5060</v>
      </c>
      <c r="M74" s="157">
        <v>4460</v>
      </c>
      <c r="N74" s="157">
        <v>328.63353450309967</v>
      </c>
      <c r="O74" s="157">
        <v>1150.2173707608488</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57">
        <v>2720</v>
      </c>
      <c r="M75" s="157">
        <v>2600</v>
      </c>
      <c r="N75" s="157">
        <v>334.66401061363024</v>
      </c>
      <c r="O75" s="157">
        <v>200</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57">
        <v>2614</v>
      </c>
      <c r="M76" s="157">
        <v>2740</v>
      </c>
      <c r="N76" s="157">
        <v>491.40614566771546</v>
      </c>
      <c r="O76" s="157">
        <v>260.76809620810593</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57">
        <v>3040</v>
      </c>
      <c r="M77" s="157">
        <v>2560</v>
      </c>
      <c r="N77" s="157">
        <v>391.1521443121589</v>
      </c>
      <c r="O77" s="157">
        <v>260.76809620810593</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57">
        <v>2820</v>
      </c>
      <c r="M78" s="157">
        <v>2300</v>
      </c>
      <c r="N78" s="157">
        <v>319.37438845342626</v>
      </c>
      <c r="O78" s="157">
        <v>234.52078799117149</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1">
        <v>126.12871685772453</v>
      </c>
      <c r="M79" s="171">
        <v>78.346059675861142</v>
      </c>
      <c r="N79" s="171">
        <v>59.249706974790769</v>
      </c>
      <c r="O79" s="171">
        <v>10.240290036508725</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1">
        <v>1894</v>
      </c>
      <c r="M80" s="171">
        <v>2062</v>
      </c>
      <c r="N80" s="171">
        <v>374.27262790645005</v>
      </c>
      <c r="O80" s="171">
        <v>150.06665185843255</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1">
        <v>4820</v>
      </c>
      <c r="M81" s="171">
        <v>4540</v>
      </c>
      <c r="N81" s="171">
        <v>580.51701094799967</v>
      </c>
      <c r="O81" s="171">
        <v>804.9844718999243</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1">
        <v>7340</v>
      </c>
      <c r="M82" s="171">
        <v>6600</v>
      </c>
      <c r="N82" s="171">
        <v>433.58966777357597</v>
      </c>
      <c r="O82" s="171">
        <v>484.76798574163291</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1">
        <v>7800</v>
      </c>
      <c r="M83" s="171">
        <v>8180</v>
      </c>
      <c r="N83" s="171">
        <v>880.34084308295041</v>
      </c>
      <c r="O83" s="171">
        <v>1018.3319694480774</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1">
        <v>52.620839879750726</v>
      </c>
      <c r="M84" s="171">
        <v>36.73035982430136</v>
      </c>
      <c r="N84" s="171">
        <v>7.6212084113144885</v>
      </c>
      <c r="O84" s="171">
        <v>5.2004742586794972</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1">
        <v>1176</v>
      </c>
      <c r="M85" s="171">
        <v>860</v>
      </c>
      <c r="N85" s="171">
        <v>295.6856438855292</v>
      </c>
      <c r="O85" s="171">
        <v>129.80754985747168</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1">
        <v>2116</v>
      </c>
      <c r="M86" s="171">
        <v>2218</v>
      </c>
      <c r="N86" s="171">
        <v>155.82040944625965</v>
      </c>
      <c r="O86" s="171">
        <v>167.69019053003666</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1">
        <v>3440</v>
      </c>
      <c r="M87" s="171">
        <v>3240</v>
      </c>
      <c r="N87" s="171">
        <v>194.93588689617928</v>
      </c>
      <c r="O87" s="171">
        <v>336.15472627943223</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1">
        <v>4200</v>
      </c>
      <c r="M88" s="171">
        <v>4120</v>
      </c>
      <c r="N88" s="171">
        <v>616.44140029689765</v>
      </c>
      <c r="O88" s="171">
        <v>501.9960159204453</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6">
        <v>534</v>
      </c>
      <c r="M89" s="176">
        <v>440</v>
      </c>
      <c r="N89" s="167">
        <v>60.249481325568276</v>
      </c>
      <c r="O89" s="167">
        <v>28.284271247461902</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6">
        <v>448</v>
      </c>
      <c r="M90" s="176">
        <v>458</v>
      </c>
      <c r="N90" s="167">
        <v>39.623225512317902</v>
      </c>
      <c r="O90" s="167">
        <v>81.670067956381672</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6">
        <v>322</v>
      </c>
      <c r="M91" s="176">
        <v>342</v>
      </c>
      <c r="N91" s="167">
        <v>19.235384061671343</v>
      </c>
      <c r="O91" s="167">
        <v>67.970581871865718</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6">
        <v>234</v>
      </c>
      <c r="M92" s="176">
        <v>226</v>
      </c>
      <c r="N92" s="167">
        <v>11.401754250991379</v>
      </c>
      <c r="O92" s="167">
        <v>11.401754250991379</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6">
        <v>352</v>
      </c>
      <c r="M93" s="176">
        <v>306</v>
      </c>
      <c r="N93" s="167">
        <v>13.038404810405298</v>
      </c>
      <c r="O93" s="167">
        <v>32.863353450309965</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6">
        <v>516</v>
      </c>
      <c r="M94" s="176">
        <v>460</v>
      </c>
      <c r="N94" s="167">
        <v>38.470768123342687</v>
      </c>
      <c r="O94" s="167">
        <v>29.154759474226502</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row r="101" spans="1:16">
      <c r="O101" s="152"/>
      <c r="P101" s="152"/>
    </row>
    <row r="102" spans="1:16">
      <c r="O102" s="152"/>
      <c r="P102" s="152"/>
    </row>
    <row r="103" spans="1:16">
      <c r="O103" s="152"/>
      <c r="P103" s="152"/>
    </row>
    <row r="104" spans="1:16">
      <c r="O104" s="152"/>
      <c r="P104" s="152"/>
    </row>
    <row r="105" spans="1:16">
      <c r="O105" s="152"/>
      <c r="P105" s="152"/>
    </row>
    <row r="106" spans="1:16">
      <c r="O106" s="152"/>
      <c r="P106" s="152"/>
    </row>
    <row r="107" spans="1:16">
      <c r="O107" s="152"/>
      <c r="P107" s="152"/>
    </row>
    <row r="108" spans="1:16">
      <c r="O108" s="152"/>
      <c r="P108" s="152"/>
    </row>
    <row r="109" spans="1:16">
      <c r="O109" s="152"/>
      <c r="P109" s="152"/>
    </row>
    <row r="110" spans="1:16">
      <c r="O110" s="152"/>
      <c r="P110" s="152"/>
    </row>
    <row r="111" spans="1:16">
      <c r="O111" s="152"/>
      <c r="P111" s="152"/>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00"/>
  <sheetViews>
    <sheetView workbookViewId="0">
      <selection activeCell="J31" sqref="J31"/>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1" style="152" bestFit="1" customWidth="1"/>
    <col min="13" max="13" width="10" style="152" bestFit="1" customWidth="1"/>
    <col min="14" max="14" width="12.83203125" style="152" bestFit="1" customWidth="1"/>
    <col min="15" max="15" width="11.83203125" style="152" bestFit="1" customWidth="1"/>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245</v>
      </c>
      <c r="M1" s="150" t="s">
        <v>242</v>
      </c>
      <c r="N1" s="150" t="s">
        <v>251</v>
      </c>
      <c r="O1" s="150" t="s">
        <v>243</v>
      </c>
    </row>
    <row r="2" spans="1:15">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row>
    <row r="3" spans="1:15">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row>
    <row r="4" spans="1:15">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row>
    <row r="5" spans="1:15">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row>
    <row r="6" spans="1:15">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row>
    <row r="7" spans="1:15">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row>
    <row r="8" spans="1:15">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row>
    <row r="9" spans="1:15">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76">
        <v>23966.666666666668</v>
      </c>
      <c r="M10" s="176">
        <v>30666.666666666668</v>
      </c>
      <c r="N10" s="176">
        <v>6321.2867888323735</v>
      </c>
      <c r="O10" s="176">
        <v>3265.9863237108943</v>
      </c>
    </row>
    <row r="11" spans="1:15">
      <c r="A11" s="150" t="s">
        <v>130</v>
      </c>
      <c r="B11" s="150">
        <v>6</v>
      </c>
      <c r="C11" s="150">
        <v>6</v>
      </c>
      <c r="D11" s="150" t="s">
        <v>231</v>
      </c>
      <c r="E11" s="150" t="s">
        <v>231</v>
      </c>
      <c r="F11" s="150">
        <v>63</v>
      </c>
      <c r="G11" s="150" t="s">
        <v>234</v>
      </c>
      <c r="H11" s="150" t="s">
        <v>136</v>
      </c>
      <c r="I11" s="150" t="s">
        <v>239</v>
      </c>
      <c r="J11" s="150" t="s">
        <v>239</v>
      </c>
      <c r="K11" s="150" t="s">
        <v>283</v>
      </c>
      <c r="L11" s="176">
        <v>29166.666666666668</v>
      </c>
      <c r="M11" s="176">
        <v>27833.333333333332</v>
      </c>
      <c r="N11" s="176">
        <v>4262.2372841814667</v>
      </c>
      <c r="O11" s="176">
        <v>5036.5331992022648</v>
      </c>
    </row>
    <row r="12" spans="1:15">
      <c r="A12" s="150" t="s">
        <v>130</v>
      </c>
      <c r="B12" s="150">
        <v>6</v>
      </c>
      <c r="C12" s="150">
        <v>6</v>
      </c>
      <c r="D12" s="150" t="s">
        <v>231</v>
      </c>
      <c r="E12" s="150" t="s">
        <v>231</v>
      </c>
      <c r="F12" s="150">
        <v>63</v>
      </c>
      <c r="G12" s="150" t="s">
        <v>234</v>
      </c>
      <c r="H12" s="150" t="s">
        <v>136</v>
      </c>
      <c r="I12" s="150" t="s">
        <v>239</v>
      </c>
      <c r="J12" s="150" t="s">
        <v>239</v>
      </c>
      <c r="K12" s="150" t="s">
        <v>283</v>
      </c>
      <c r="L12" s="176">
        <v>28000</v>
      </c>
      <c r="M12" s="176">
        <v>30166.666666666668</v>
      </c>
      <c r="N12" s="176">
        <v>4898.9794855663558</v>
      </c>
      <c r="O12" s="176">
        <v>6177.9176642835409</v>
      </c>
    </row>
    <row r="13" spans="1:15">
      <c r="A13" s="150" t="s">
        <v>130</v>
      </c>
      <c r="B13" s="150">
        <v>6</v>
      </c>
      <c r="C13" s="150">
        <v>6</v>
      </c>
      <c r="D13" s="150" t="s">
        <v>231</v>
      </c>
      <c r="E13" s="150" t="s">
        <v>231</v>
      </c>
      <c r="F13" s="150">
        <v>63</v>
      </c>
      <c r="G13" s="150" t="s">
        <v>234</v>
      </c>
      <c r="H13" s="150" t="s">
        <v>136</v>
      </c>
      <c r="I13" s="150" t="s">
        <v>239</v>
      </c>
      <c r="J13" s="150" t="s">
        <v>240</v>
      </c>
      <c r="K13" s="150" t="s">
        <v>284</v>
      </c>
      <c r="L13" s="176">
        <v>34500</v>
      </c>
      <c r="M13" s="176">
        <v>30833.333333333332</v>
      </c>
      <c r="N13" s="176">
        <v>4230.8391602612355</v>
      </c>
      <c r="O13" s="176">
        <v>4119.0613817551448</v>
      </c>
    </row>
    <row r="14" spans="1:15">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76">
        <v>25157.501419372664</v>
      </c>
      <c r="M21" s="176">
        <v>25661.522794678698</v>
      </c>
      <c r="N21" s="176">
        <v>3287.9376384522784</v>
      </c>
      <c r="O21" s="176">
        <v>1307.70513983452</v>
      </c>
    </row>
    <row r="22" spans="1:15">
      <c r="A22" s="150" t="s">
        <v>133</v>
      </c>
      <c r="B22" s="150">
        <v>8</v>
      </c>
      <c r="C22" s="150">
        <v>8</v>
      </c>
      <c r="D22" s="150" t="s">
        <v>231</v>
      </c>
      <c r="E22" s="150" t="s">
        <v>231</v>
      </c>
      <c r="F22" s="150">
        <v>63</v>
      </c>
      <c r="G22" s="150" t="s">
        <v>234</v>
      </c>
      <c r="H22" s="150" t="s">
        <v>137</v>
      </c>
      <c r="I22" s="150" t="s">
        <v>239</v>
      </c>
      <c r="J22" s="151" t="s">
        <v>241</v>
      </c>
      <c r="K22" s="150" t="s">
        <v>284</v>
      </c>
      <c r="L22" s="176">
        <v>23788.264922086357</v>
      </c>
      <c r="M22" s="176">
        <v>24953.336021204188</v>
      </c>
      <c r="N22" s="176">
        <v>364.05362307115678</v>
      </c>
      <c r="O22" s="176">
        <v>2407.1602848247317</v>
      </c>
    </row>
    <row r="23" spans="1:15">
      <c r="A23" s="150" t="s">
        <v>133</v>
      </c>
      <c r="B23" s="150">
        <v>8</v>
      </c>
      <c r="C23" s="150">
        <v>8</v>
      </c>
      <c r="D23" s="150" t="s">
        <v>231</v>
      </c>
      <c r="E23" s="150" t="s">
        <v>231</v>
      </c>
      <c r="F23" s="150">
        <v>63</v>
      </c>
      <c r="G23" s="150" t="s">
        <v>234</v>
      </c>
      <c r="H23" s="150" t="s">
        <v>137</v>
      </c>
      <c r="I23" s="150" t="s">
        <v>240</v>
      </c>
      <c r="J23" s="151" t="s">
        <v>241</v>
      </c>
      <c r="K23" s="150" t="s">
        <v>284</v>
      </c>
      <c r="L23" s="176">
        <v>23072.80421645489</v>
      </c>
      <c r="M23" s="176">
        <v>26125.462964323426</v>
      </c>
      <c r="N23" s="176">
        <v>1479.4024716918025</v>
      </c>
      <c r="O23" s="176">
        <v>860.73192001872496</v>
      </c>
    </row>
    <row r="24" spans="1:15">
      <c r="A24" s="150" t="s">
        <v>133</v>
      </c>
      <c r="B24" s="150">
        <v>8</v>
      </c>
      <c r="C24" s="150">
        <v>8</v>
      </c>
      <c r="D24" s="150" t="s">
        <v>231</v>
      </c>
      <c r="E24" s="150" t="s">
        <v>231</v>
      </c>
      <c r="F24" s="150">
        <v>63</v>
      </c>
      <c r="G24" s="150" t="s">
        <v>234</v>
      </c>
      <c r="H24" s="150" t="s">
        <v>137</v>
      </c>
      <c r="I24" s="150" t="s">
        <v>239</v>
      </c>
      <c r="J24" s="151" t="s">
        <v>241</v>
      </c>
      <c r="K24" s="150" t="s">
        <v>284</v>
      </c>
      <c r="L24" s="176">
        <v>23904.832614895131</v>
      </c>
      <c r="M24" s="176">
        <v>22054.64537233617</v>
      </c>
      <c r="N24" s="176">
        <v>2554.3186262656</v>
      </c>
      <c r="O24" s="176">
        <v>3028.9001688717735</v>
      </c>
    </row>
    <row r="25" spans="1:15">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79">
        <v>21773.022083333333</v>
      </c>
      <c r="M26" s="179">
        <v>22152.729953333332</v>
      </c>
      <c r="N26" s="161">
        <v>2177.3022083333335</v>
      </c>
      <c r="O26" s="161">
        <v>2215.2729953333333</v>
      </c>
    </row>
    <row r="27" spans="1:15">
      <c r="A27" s="150" t="s">
        <v>135</v>
      </c>
      <c r="B27" s="150">
        <v>6</v>
      </c>
      <c r="C27" s="150">
        <v>6</v>
      </c>
      <c r="D27" s="150" t="s">
        <v>231</v>
      </c>
      <c r="E27" s="150" t="s">
        <v>231</v>
      </c>
      <c r="F27" s="150">
        <v>79</v>
      </c>
      <c r="G27" s="150" t="s">
        <v>235</v>
      </c>
      <c r="H27" s="150" t="s">
        <v>136</v>
      </c>
      <c r="I27" s="150" t="s">
        <v>239</v>
      </c>
      <c r="J27" s="150" t="s">
        <v>240</v>
      </c>
      <c r="K27" s="150" t="s">
        <v>284</v>
      </c>
      <c r="L27" s="179">
        <v>21464.784750000003</v>
      </c>
      <c r="M27" s="179">
        <v>22332.437523333338</v>
      </c>
      <c r="N27" s="161">
        <v>2146.4784750000003</v>
      </c>
      <c r="O27" s="161">
        <v>2233.2437523333338</v>
      </c>
    </row>
    <row r="28" spans="1:15">
      <c r="A28" s="150" t="s">
        <v>138</v>
      </c>
      <c r="B28" s="150">
        <v>4</v>
      </c>
      <c r="C28" s="150">
        <v>4</v>
      </c>
      <c r="D28" s="150" t="s">
        <v>231</v>
      </c>
      <c r="E28" s="150" t="s">
        <v>231</v>
      </c>
      <c r="F28" s="150">
        <v>63</v>
      </c>
      <c r="G28" s="150" t="s">
        <v>235</v>
      </c>
      <c r="H28" s="150" t="s">
        <v>137</v>
      </c>
      <c r="I28" s="150" t="s">
        <v>132</v>
      </c>
      <c r="J28" s="150" t="s">
        <v>239</v>
      </c>
      <c r="K28" s="150" t="s">
        <v>285</v>
      </c>
      <c r="L28" s="176">
        <v>29561.28520620969</v>
      </c>
      <c r="M28" s="176">
        <v>27100.597348528565</v>
      </c>
      <c r="N28" s="176">
        <v>2264.2015264366587</v>
      </c>
      <c r="O28" s="176">
        <v>252.37131781408721</v>
      </c>
    </row>
    <row r="29" spans="1:15">
      <c r="A29" s="150" t="s">
        <v>138</v>
      </c>
      <c r="B29" s="150">
        <v>4</v>
      </c>
      <c r="C29" s="150">
        <v>4</v>
      </c>
      <c r="D29" s="150" t="s">
        <v>231</v>
      </c>
      <c r="E29" s="150" t="s">
        <v>231</v>
      </c>
      <c r="F29" s="150">
        <v>63</v>
      </c>
      <c r="G29" s="150" t="s">
        <v>235</v>
      </c>
      <c r="H29" s="150" t="s">
        <v>137</v>
      </c>
      <c r="I29" s="150" t="s">
        <v>132</v>
      </c>
      <c r="J29" s="150" t="s">
        <v>239</v>
      </c>
      <c r="K29" s="150" t="s">
        <v>285</v>
      </c>
      <c r="L29" s="176">
        <v>27675.968204841211</v>
      </c>
      <c r="M29" s="176">
        <v>25613.273819957503</v>
      </c>
      <c r="N29" s="176">
        <v>2801.7560484407231</v>
      </c>
      <c r="O29" s="176">
        <v>2308.2132951480658</v>
      </c>
    </row>
    <row r="30" spans="1:15">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77">
        <v>9840</v>
      </c>
      <c r="M69" s="177">
        <v>28800</v>
      </c>
      <c r="N69" s="176">
        <v>2032.9781110479275</v>
      </c>
      <c r="O69" s="176">
        <v>836.66002653407554</v>
      </c>
    </row>
    <row r="70" spans="1:15">
      <c r="A70" s="150" t="s">
        <v>146</v>
      </c>
      <c r="B70" s="150">
        <v>5</v>
      </c>
      <c r="C70" s="150">
        <v>5</v>
      </c>
      <c r="D70" s="150" t="s">
        <v>231</v>
      </c>
      <c r="E70" s="150" t="s">
        <v>231</v>
      </c>
      <c r="F70" s="150">
        <v>63</v>
      </c>
      <c r="G70" s="150" t="s">
        <v>234</v>
      </c>
      <c r="H70" s="150" t="s">
        <v>136</v>
      </c>
      <c r="I70" s="151" t="s">
        <v>239</v>
      </c>
      <c r="J70" s="150" t="s">
        <v>240</v>
      </c>
      <c r="K70" s="150" t="s">
        <v>283</v>
      </c>
      <c r="L70" s="177">
        <v>26600</v>
      </c>
      <c r="M70" s="177">
        <v>26200</v>
      </c>
      <c r="N70" s="176">
        <v>2880.9720581775869</v>
      </c>
      <c r="O70" s="176">
        <v>4324.3496620879305</v>
      </c>
    </row>
    <row r="71" spans="1:15">
      <c r="A71" s="150" t="s">
        <v>146</v>
      </c>
      <c r="B71" s="150">
        <v>5</v>
      </c>
      <c r="C71" s="150">
        <v>5</v>
      </c>
      <c r="D71" s="150" t="s">
        <v>231</v>
      </c>
      <c r="E71" s="150" t="s">
        <v>231</v>
      </c>
      <c r="F71" s="150">
        <v>63</v>
      </c>
      <c r="G71" s="150" t="s">
        <v>234</v>
      </c>
      <c r="H71" s="150" t="s">
        <v>136</v>
      </c>
      <c r="I71" s="151" t="s">
        <v>239</v>
      </c>
      <c r="J71" s="150" t="s">
        <v>240</v>
      </c>
      <c r="K71" s="150" t="s">
        <v>283</v>
      </c>
      <c r="L71" s="177">
        <v>22800</v>
      </c>
      <c r="M71" s="177">
        <v>23020</v>
      </c>
      <c r="N71" s="176">
        <v>1095.4451150103323</v>
      </c>
      <c r="O71" s="176">
        <v>3346.9388999502216</v>
      </c>
    </row>
    <row r="72" spans="1:15">
      <c r="A72" s="150" t="s">
        <v>146</v>
      </c>
      <c r="B72" s="150">
        <v>5</v>
      </c>
      <c r="C72" s="150">
        <v>5</v>
      </c>
      <c r="D72" s="150" t="s">
        <v>231</v>
      </c>
      <c r="E72" s="150" t="s">
        <v>231</v>
      </c>
      <c r="F72" s="150">
        <v>63</v>
      </c>
      <c r="G72" s="150" t="s">
        <v>234</v>
      </c>
      <c r="H72" s="150" t="s">
        <v>136</v>
      </c>
      <c r="I72" s="151" t="s">
        <v>239</v>
      </c>
      <c r="J72" s="150" t="s">
        <v>240</v>
      </c>
      <c r="K72" s="150" t="s">
        <v>283</v>
      </c>
      <c r="L72" s="177">
        <v>23000</v>
      </c>
      <c r="M72" s="177">
        <v>23000</v>
      </c>
      <c r="N72" s="176">
        <v>2549.5097567963926</v>
      </c>
      <c r="O72" s="176">
        <v>1224.744871391589</v>
      </c>
    </row>
    <row r="73" spans="1:15">
      <c r="A73" s="150" t="s">
        <v>146</v>
      </c>
      <c r="B73" s="150">
        <v>5</v>
      </c>
      <c r="C73" s="150">
        <v>5</v>
      </c>
      <c r="D73" s="150" t="s">
        <v>231</v>
      </c>
      <c r="E73" s="150" t="s">
        <v>231</v>
      </c>
      <c r="F73" s="150">
        <v>63</v>
      </c>
      <c r="G73" s="150" t="s">
        <v>234</v>
      </c>
      <c r="H73" s="150" t="s">
        <v>136</v>
      </c>
      <c r="I73" s="151" t="s">
        <v>239</v>
      </c>
      <c r="J73" s="150" t="s">
        <v>240</v>
      </c>
      <c r="K73" s="150" t="s">
        <v>283</v>
      </c>
      <c r="L73" s="177">
        <v>25320</v>
      </c>
      <c r="M73" s="177">
        <v>23400</v>
      </c>
      <c r="N73" s="176">
        <v>4112.4202119919601</v>
      </c>
      <c r="O73" s="176">
        <v>1140.175425099138</v>
      </c>
    </row>
    <row r="74" spans="1:15">
      <c r="A74" s="150" t="s">
        <v>146</v>
      </c>
      <c r="B74" s="150">
        <v>5</v>
      </c>
      <c r="C74" s="150">
        <v>5</v>
      </c>
      <c r="D74" s="150" t="s">
        <v>231</v>
      </c>
      <c r="E74" s="150" t="s">
        <v>231</v>
      </c>
      <c r="F74" s="150">
        <v>63</v>
      </c>
      <c r="G74" s="150" t="s">
        <v>234</v>
      </c>
      <c r="H74" s="150" t="s">
        <v>136</v>
      </c>
      <c r="I74" s="151" t="s">
        <v>240</v>
      </c>
      <c r="J74" s="151" t="s">
        <v>241</v>
      </c>
      <c r="K74" s="150" t="s">
        <v>283</v>
      </c>
      <c r="L74" s="177">
        <v>13020</v>
      </c>
      <c r="M74" s="177">
        <v>14360</v>
      </c>
      <c r="N74" s="176">
        <v>6268.3331117610524</v>
      </c>
      <c r="O74" s="176">
        <v>2516.545250934304</v>
      </c>
    </row>
    <row r="75" spans="1:15">
      <c r="A75" s="150" t="s">
        <v>146</v>
      </c>
      <c r="B75" s="150">
        <v>5</v>
      </c>
      <c r="C75" s="150">
        <v>5</v>
      </c>
      <c r="D75" s="150" t="s">
        <v>231</v>
      </c>
      <c r="E75" s="150" t="s">
        <v>231</v>
      </c>
      <c r="F75" s="150">
        <v>63</v>
      </c>
      <c r="G75" s="150" t="s">
        <v>234</v>
      </c>
      <c r="H75" s="150" t="s">
        <v>136</v>
      </c>
      <c r="I75" s="151" t="s">
        <v>239</v>
      </c>
      <c r="J75" s="151" t="s">
        <v>241</v>
      </c>
      <c r="K75" s="150" t="s">
        <v>283</v>
      </c>
      <c r="L75" s="177">
        <v>31800</v>
      </c>
      <c r="M75" s="177">
        <v>32600</v>
      </c>
      <c r="N75" s="176">
        <v>2387.4672772626645</v>
      </c>
      <c r="O75" s="176">
        <v>2880.9720581775869</v>
      </c>
    </row>
    <row r="76" spans="1:15">
      <c r="A76" s="150" t="s">
        <v>146</v>
      </c>
      <c r="B76" s="150">
        <v>5</v>
      </c>
      <c r="C76" s="150">
        <v>5</v>
      </c>
      <c r="D76" s="150" t="s">
        <v>231</v>
      </c>
      <c r="E76" s="150" t="s">
        <v>231</v>
      </c>
      <c r="F76" s="150">
        <v>63</v>
      </c>
      <c r="G76" s="150" t="s">
        <v>234</v>
      </c>
      <c r="H76" s="150" t="s">
        <v>136</v>
      </c>
      <c r="I76" s="151" t="s">
        <v>239</v>
      </c>
      <c r="J76" s="151" t="s">
        <v>241</v>
      </c>
      <c r="K76" s="150" t="s">
        <v>283</v>
      </c>
      <c r="L76" s="177">
        <v>30000</v>
      </c>
      <c r="M76" s="177">
        <v>30400</v>
      </c>
      <c r="N76" s="176">
        <v>2121.3203435596424</v>
      </c>
      <c r="O76" s="176">
        <v>4219.0046219457972</v>
      </c>
    </row>
    <row r="77" spans="1:15">
      <c r="A77" s="150" t="s">
        <v>146</v>
      </c>
      <c r="B77" s="150">
        <v>5</v>
      </c>
      <c r="C77" s="150">
        <v>5</v>
      </c>
      <c r="D77" s="150" t="s">
        <v>231</v>
      </c>
      <c r="E77" s="150" t="s">
        <v>231</v>
      </c>
      <c r="F77" s="150">
        <v>63</v>
      </c>
      <c r="G77" s="150" t="s">
        <v>234</v>
      </c>
      <c r="H77" s="150" t="s">
        <v>136</v>
      </c>
      <c r="I77" s="151" t="s">
        <v>239</v>
      </c>
      <c r="J77" s="151" t="s">
        <v>241</v>
      </c>
      <c r="K77" s="150" t="s">
        <v>283</v>
      </c>
      <c r="L77" s="177">
        <v>27400</v>
      </c>
      <c r="M77" s="177">
        <v>28400</v>
      </c>
      <c r="N77" s="176">
        <v>2073.6441353327723</v>
      </c>
      <c r="O77" s="176">
        <v>1816.590212458495</v>
      </c>
    </row>
    <row r="78" spans="1:15">
      <c r="A78" s="150" t="s">
        <v>146</v>
      </c>
      <c r="B78" s="150">
        <v>5</v>
      </c>
      <c r="C78" s="150">
        <v>5</v>
      </c>
      <c r="D78" s="150" t="s">
        <v>231</v>
      </c>
      <c r="E78" s="150" t="s">
        <v>231</v>
      </c>
      <c r="F78" s="150">
        <v>63</v>
      </c>
      <c r="G78" s="150" t="s">
        <v>234</v>
      </c>
      <c r="H78" s="150" t="s">
        <v>136</v>
      </c>
      <c r="I78" s="151" t="s">
        <v>239</v>
      </c>
      <c r="J78" s="151" t="s">
        <v>241</v>
      </c>
      <c r="K78" s="150" t="s">
        <v>283</v>
      </c>
      <c r="L78" s="177">
        <v>26600</v>
      </c>
      <c r="M78" s="177">
        <v>24800</v>
      </c>
      <c r="N78" s="176">
        <v>2607.6809620810595</v>
      </c>
      <c r="O78" s="176">
        <v>4324.3496620879305</v>
      </c>
    </row>
    <row r="79" spans="1:15">
      <c r="A79" s="150" t="s">
        <v>147</v>
      </c>
      <c r="B79" s="150">
        <v>5</v>
      </c>
      <c r="C79" s="150">
        <v>5</v>
      </c>
      <c r="D79" s="150" t="s">
        <v>231</v>
      </c>
      <c r="E79" s="150" t="s">
        <v>231</v>
      </c>
      <c r="F79" s="150">
        <v>63</v>
      </c>
      <c r="G79" s="150" t="s">
        <v>234</v>
      </c>
      <c r="H79" s="150" t="s">
        <v>136</v>
      </c>
      <c r="I79" s="151" t="s">
        <v>240</v>
      </c>
      <c r="J79" s="150" t="s">
        <v>240</v>
      </c>
      <c r="K79" s="150" t="s">
        <v>283</v>
      </c>
      <c r="L79" s="151">
        <v>28000</v>
      </c>
      <c r="M79" s="177">
        <v>36200</v>
      </c>
      <c r="N79" s="176">
        <v>1581.1388300841897</v>
      </c>
      <c r="O79" s="176">
        <v>4604.3457732885354</v>
      </c>
    </row>
    <row r="80" spans="1:15">
      <c r="A80" s="150" t="s">
        <v>147</v>
      </c>
      <c r="B80" s="150">
        <v>5</v>
      </c>
      <c r="C80" s="150">
        <v>5</v>
      </c>
      <c r="D80" s="150" t="s">
        <v>231</v>
      </c>
      <c r="E80" s="150" t="s">
        <v>231</v>
      </c>
      <c r="F80" s="150">
        <v>63</v>
      </c>
      <c r="G80" s="150" t="s">
        <v>234</v>
      </c>
      <c r="H80" s="150" t="s">
        <v>136</v>
      </c>
      <c r="I80" s="151" t="s">
        <v>240</v>
      </c>
      <c r="J80" s="151" t="s">
        <v>241</v>
      </c>
      <c r="K80" s="150" t="s">
        <v>283</v>
      </c>
      <c r="L80" s="151">
        <v>28400</v>
      </c>
      <c r="M80" s="177">
        <v>30200</v>
      </c>
      <c r="N80" s="176">
        <v>1516.57508881031</v>
      </c>
      <c r="O80" s="176">
        <v>2167.94833886788</v>
      </c>
    </row>
    <row r="81" spans="1:15">
      <c r="A81" s="150" t="s">
        <v>147</v>
      </c>
      <c r="B81" s="150">
        <v>5</v>
      </c>
      <c r="C81" s="150">
        <v>5</v>
      </c>
      <c r="D81" s="150" t="s">
        <v>231</v>
      </c>
      <c r="E81" s="150" t="s">
        <v>231</v>
      </c>
      <c r="F81" s="150">
        <v>63</v>
      </c>
      <c r="G81" s="150" t="s">
        <v>234</v>
      </c>
      <c r="H81" s="150" t="s">
        <v>136</v>
      </c>
      <c r="I81" s="151" t="s">
        <v>240</v>
      </c>
      <c r="J81" s="151" t="s">
        <v>241</v>
      </c>
      <c r="K81" s="150" t="s">
        <v>283</v>
      </c>
      <c r="L81" s="151">
        <v>25200</v>
      </c>
      <c r="M81" s="177">
        <v>27000</v>
      </c>
      <c r="N81" s="176">
        <v>3898.7177379235854</v>
      </c>
      <c r="O81" s="176">
        <v>2236.0679774997898</v>
      </c>
    </row>
    <row r="82" spans="1:15">
      <c r="A82" s="150" t="s">
        <v>147</v>
      </c>
      <c r="B82" s="150">
        <v>5</v>
      </c>
      <c r="C82" s="150">
        <v>5</v>
      </c>
      <c r="D82" s="150" t="s">
        <v>231</v>
      </c>
      <c r="E82" s="150" t="s">
        <v>231</v>
      </c>
      <c r="F82" s="150">
        <v>63</v>
      </c>
      <c r="G82" s="150" t="s">
        <v>234</v>
      </c>
      <c r="H82" s="150" t="s">
        <v>136</v>
      </c>
      <c r="I82" s="151" t="s">
        <v>240</v>
      </c>
      <c r="J82" s="151" t="s">
        <v>241</v>
      </c>
      <c r="K82" s="150" t="s">
        <v>283</v>
      </c>
      <c r="L82" s="151">
        <v>23640</v>
      </c>
      <c r="M82" s="177">
        <v>20800</v>
      </c>
      <c r="N82" s="176">
        <v>3427.5355578024278</v>
      </c>
      <c r="O82" s="176">
        <v>2793.7430089397985</v>
      </c>
    </row>
    <row r="83" spans="1:15">
      <c r="A83" s="150" t="s">
        <v>147</v>
      </c>
      <c r="B83" s="150">
        <v>5</v>
      </c>
      <c r="C83" s="150">
        <v>5</v>
      </c>
      <c r="D83" s="150" t="s">
        <v>231</v>
      </c>
      <c r="E83" s="150" t="s">
        <v>231</v>
      </c>
      <c r="F83" s="150">
        <v>63</v>
      </c>
      <c r="G83" s="150" t="s">
        <v>234</v>
      </c>
      <c r="H83" s="150" t="s">
        <v>136</v>
      </c>
      <c r="I83" s="151" t="s">
        <v>240</v>
      </c>
      <c r="J83" s="151" t="s">
        <v>241</v>
      </c>
      <c r="K83" s="150" t="s">
        <v>283</v>
      </c>
      <c r="L83" s="151">
        <v>24000</v>
      </c>
      <c r="M83" s="177">
        <v>21820</v>
      </c>
      <c r="N83" s="176">
        <v>4062.0192023179802</v>
      </c>
      <c r="O83" s="176">
        <v>5921.3174209798954</v>
      </c>
    </row>
    <row r="84" spans="1:15">
      <c r="A84" s="150" t="s">
        <v>147</v>
      </c>
      <c r="B84" s="150">
        <v>5</v>
      </c>
      <c r="C84" s="150">
        <v>5</v>
      </c>
      <c r="D84" s="150" t="s">
        <v>231</v>
      </c>
      <c r="E84" s="150" t="s">
        <v>231</v>
      </c>
      <c r="F84" s="150">
        <v>63</v>
      </c>
      <c r="G84" s="150" t="s">
        <v>234</v>
      </c>
      <c r="H84" s="150" t="s">
        <v>136</v>
      </c>
      <c r="I84" s="151" t="s">
        <v>239</v>
      </c>
      <c r="J84" s="150" t="s">
        <v>240</v>
      </c>
      <c r="K84" s="150" t="s">
        <v>283</v>
      </c>
      <c r="L84" s="177">
        <v>37600</v>
      </c>
      <c r="M84" s="177">
        <v>34600</v>
      </c>
      <c r="N84" s="176">
        <v>2966.4793948382653</v>
      </c>
      <c r="O84" s="176">
        <v>2880.9720581775869</v>
      </c>
    </row>
    <row r="85" spans="1:15">
      <c r="A85" s="150" t="s">
        <v>147</v>
      </c>
      <c r="B85" s="150">
        <v>5</v>
      </c>
      <c r="C85" s="150">
        <v>5</v>
      </c>
      <c r="D85" s="150" t="s">
        <v>231</v>
      </c>
      <c r="E85" s="150" t="s">
        <v>231</v>
      </c>
      <c r="F85" s="150">
        <v>63</v>
      </c>
      <c r="G85" s="150" t="s">
        <v>234</v>
      </c>
      <c r="H85" s="150" t="s">
        <v>136</v>
      </c>
      <c r="I85" s="151" t="s">
        <v>239</v>
      </c>
      <c r="J85" s="151" t="s">
        <v>241</v>
      </c>
      <c r="K85" s="150" t="s">
        <v>283</v>
      </c>
      <c r="L85" s="177">
        <v>37800</v>
      </c>
      <c r="M85" s="177">
        <v>34600</v>
      </c>
      <c r="N85" s="176">
        <v>836.66002653407554</v>
      </c>
      <c r="O85" s="176">
        <v>2509.9800796022269</v>
      </c>
    </row>
    <row r="86" spans="1:15">
      <c r="A86" s="150" t="s">
        <v>147</v>
      </c>
      <c r="B86" s="150">
        <v>5</v>
      </c>
      <c r="C86" s="150">
        <v>5</v>
      </c>
      <c r="D86" s="150" t="s">
        <v>231</v>
      </c>
      <c r="E86" s="150" t="s">
        <v>231</v>
      </c>
      <c r="F86" s="150">
        <v>63</v>
      </c>
      <c r="G86" s="150" t="s">
        <v>234</v>
      </c>
      <c r="H86" s="150" t="s">
        <v>136</v>
      </c>
      <c r="I86" s="151" t="s">
        <v>239</v>
      </c>
      <c r="J86" s="151" t="s">
        <v>241</v>
      </c>
      <c r="K86" s="150" t="s">
        <v>283</v>
      </c>
      <c r="L86" s="177">
        <v>42200</v>
      </c>
      <c r="M86" s="177">
        <v>40600</v>
      </c>
      <c r="N86" s="176">
        <v>3114.4823004794875</v>
      </c>
      <c r="O86" s="176">
        <v>3646.9165057620939</v>
      </c>
    </row>
    <row r="87" spans="1:15">
      <c r="A87" s="150" t="s">
        <v>147</v>
      </c>
      <c r="B87" s="150">
        <v>5</v>
      </c>
      <c r="C87" s="150">
        <v>5</v>
      </c>
      <c r="D87" s="150" t="s">
        <v>231</v>
      </c>
      <c r="E87" s="150" t="s">
        <v>231</v>
      </c>
      <c r="F87" s="150">
        <v>63</v>
      </c>
      <c r="G87" s="150" t="s">
        <v>234</v>
      </c>
      <c r="H87" s="150" t="s">
        <v>136</v>
      </c>
      <c r="I87" s="151" t="s">
        <v>239</v>
      </c>
      <c r="J87" s="151" t="s">
        <v>241</v>
      </c>
      <c r="K87" s="150" t="s">
        <v>283</v>
      </c>
      <c r="L87" s="177">
        <v>46600</v>
      </c>
      <c r="M87" s="177">
        <v>38800</v>
      </c>
      <c r="N87" s="176">
        <v>5412.9474410897437</v>
      </c>
      <c r="O87" s="176">
        <v>1483.2396974191327</v>
      </c>
    </row>
    <row r="88" spans="1:15">
      <c r="A88" s="150" t="s">
        <v>147</v>
      </c>
      <c r="B88" s="150">
        <v>5</v>
      </c>
      <c r="C88" s="150">
        <v>5</v>
      </c>
      <c r="D88" s="150" t="s">
        <v>231</v>
      </c>
      <c r="E88" s="150" t="s">
        <v>231</v>
      </c>
      <c r="F88" s="150">
        <v>63</v>
      </c>
      <c r="G88" s="150" t="s">
        <v>234</v>
      </c>
      <c r="H88" s="150" t="s">
        <v>136</v>
      </c>
      <c r="I88" s="151" t="s">
        <v>239</v>
      </c>
      <c r="J88" s="151" t="s">
        <v>241</v>
      </c>
      <c r="K88" s="150" t="s">
        <v>283</v>
      </c>
      <c r="L88" s="177">
        <v>41400</v>
      </c>
      <c r="M88" s="177">
        <v>37400</v>
      </c>
      <c r="N88" s="176">
        <v>2073.6441353327723</v>
      </c>
      <c r="O88" s="176">
        <v>2607.6809620810595</v>
      </c>
    </row>
    <row r="89" spans="1:15">
      <c r="A89" s="150" t="s">
        <v>148</v>
      </c>
      <c r="B89" s="150">
        <v>5</v>
      </c>
      <c r="C89" s="150">
        <v>5</v>
      </c>
      <c r="D89" s="150" t="s">
        <v>231</v>
      </c>
      <c r="E89" s="150" t="s">
        <v>231</v>
      </c>
      <c r="F89" s="150">
        <v>56</v>
      </c>
      <c r="G89" s="150" t="s">
        <v>234</v>
      </c>
      <c r="H89" s="150" t="s">
        <v>136</v>
      </c>
      <c r="I89" s="151" t="s">
        <v>239</v>
      </c>
      <c r="J89" s="151" t="s">
        <v>241</v>
      </c>
      <c r="K89" s="150" t="s">
        <v>283</v>
      </c>
      <c r="L89" s="177">
        <v>27600</v>
      </c>
      <c r="M89" s="177">
        <v>26400</v>
      </c>
      <c r="N89" s="181">
        <v>894.42719099991587</v>
      </c>
      <c r="O89" s="181">
        <v>547.72255750516615</v>
      </c>
    </row>
    <row r="90" spans="1:15">
      <c r="A90" s="150" t="s">
        <v>148</v>
      </c>
      <c r="B90" s="150">
        <v>5</v>
      </c>
      <c r="C90" s="150">
        <v>5</v>
      </c>
      <c r="D90" s="150" t="s">
        <v>231</v>
      </c>
      <c r="E90" s="150" t="s">
        <v>231</v>
      </c>
      <c r="F90" s="150">
        <v>56</v>
      </c>
      <c r="G90" s="150" t="s">
        <v>234</v>
      </c>
      <c r="H90" s="150" t="s">
        <v>136</v>
      </c>
      <c r="I90" s="151" t="s">
        <v>239</v>
      </c>
      <c r="J90" s="151" t="s">
        <v>241</v>
      </c>
      <c r="K90" s="150" t="s">
        <v>283</v>
      </c>
      <c r="L90" s="177">
        <v>27000</v>
      </c>
      <c r="M90" s="177">
        <v>26400</v>
      </c>
      <c r="N90" s="181">
        <v>1224.744871391589</v>
      </c>
      <c r="O90" s="181">
        <v>894.42719099991587</v>
      </c>
    </row>
    <row r="91" spans="1:15">
      <c r="A91" s="150" t="s">
        <v>148</v>
      </c>
      <c r="B91" s="150">
        <v>5</v>
      </c>
      <c r="C91" s="150">
        <v>5</v>
      </c>
      <c r="D91" s="150" t="s">
        <v>231</v>
      </c>
      <c r="E91" s="150" t="s">
        <v>231</v>
      </c>
      <c r="F91" s="150">
        <v>56</v>
      </c>
      <c r="G91" s="150" t="s">
        <v>234</v>
      </c>
      <c r="H91" s="150" t="s">
        <v>136</v>
      </c>
      <c r="I91" s="151" t="s">
        <v>239</v>
      </c>
      <c r="J91" s="151" t="s">
        <v>241</v>
      </c>
      <c r="K91" s="150" t="s">
        <v>283</v>
      </c>
      <c r="L91" s="177">
        <v>27400</v>
      </c>
      <c r="M91" s="177">
        <v>27000</v>
      </c>
      <c r="N91" s="181">
        <v>1516.57508881031</v>
      </c>
      <c r="O91" s="181">
        <v>0</v>
      </c>
    </row>
    <row r="92" spans="1:15">
      <c r="A92" s="150" t="s">
        <v>148</v>
      </c>
      <c r="B92" s="150">
        <v>5</v>
      </c>
      <c r="C92" s="150">
        <v>5</v>
      </c>
      <c r="D92" s="150" t="s">
        <v>231</v>
      </c>
      <c r="E92" s="150" t="s">
        <v>231</v>
      </c>
      <c r="F92" s="150">
        <v>56</v>
      </c>
      <c r="G92" s="150" t="s">
        <v>234</v>
      </c>
      <c r="H92" s="150" t="s">
        <v>136</v>
      </c>
      <c r="I92" s="151" t="s">
        <v>239</v>
      </c>
      <c r="J92" s="151" t="s">
        <v>241</v>
      </c>
      <c r="K92" s="150" t="s">
        <v>283</v>
      </c>
      <c r="L92" s="177">
        <v>27400</v>
      </c>
      <c r="M92" s="177">
        <v>25400</v>
      </c>
      <c r="N92" s="181">
        <v>894.42719099991587</v>
      </c>
      <c r="O92" s="181">
        <v>1140.175425099138</v>
      </c>
    </row>
    <row r="93" spans="1:15">
      <c r="A93" s="150" t="s">
        <v>148</v>
      </c>
      <c r="B93" s="150">
        <v>5</v>
      </c>
      <c r="C93" s="150">
        <v>5</v>
      </c>
      <c r="D93" s="150" t="s">
        <v>231</v>
      </c>
      <c r="E93" s="150" t="s">
        <v>231</v>
      </c>
      <c r="F93" s="150">
        <v>56</v>
      </c>
      <c r="G93" s="150" t="s">
        <v>234</v>
      </c>
      <c r="H93" s="150" t="s">
        <v>136</v>
      </c>
      <c r="I93" s="151" t="s">
        <v>239</v>
      </c>
      <c r="J93" s="151" t="s">
        <v>241</v>
      </c>
      <c r="K93" s="150" t="s">
        <v>283</v>
      </c>
      <c r="L93" s="177">
        <v>28000</v>
      </c>
      <c r="M93" s="177">
        <v>26000</v>
      </c>
      <c r="N93" s="181">
        <v>1000</v>
      </c>
      <c r="O93" s="181">
        <v>0</v>
      </c>
    </row>
    <row r="94" spans="1:15">
      <c r="A94" s="150" t="s">
        <v>148</v>
      </c>
      <c r="B94" s="150">
        <v>5</v>
      </c>
      <c r="C94" s="150">
        <v>5</v>
      </c>
      <c r="D94" s="150" t="s">
        <v>231</v>
      </c>
      <c r="E94" s="150" t="s">
        <v>231</v>
      </c>
      <c r="F94" s="150">
        <v>56</v>
      </c>
      <c r="G94" s="150" t="s">
        <v>234</v>
      </c>
      <c r="H94" s="150" t="s">
        <v>136</v>
      </c>
      <c r="I94" s="151" t="s">
        <v>239</v>
      </c>
      <c r="J94" s="151" t="s">
        <v>241</v>
      </c>
      <c r="K94" s="150" t="s">
        <v>283</v>
      </c>
      <c r="L94" s="177">
        <v>27600</v>
      </c>
      <c r="M94" s="177">
        <v>25800</v>
      </c>
      <c r="N94" s="181">
        <v>1516.57508881031</v>
      </c>
      <c r="O94" s="181">
        <v>836.66002653407554</v>
      </c>
    </row>
    <row r="95" spans="1:15">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row>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00"/>
  <sheetViews>
    <sheetView workbookViewId="0">
      <selection sqref="A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9.83203125" style="152" bestFit="1" customWidth="1"/>
    <col min="13" max="13" width="8.83203125" style="152" bestFit="1" customWidth="1"/>
    <col min="14" max="14" width="11.6640625" style="152" bestFit="1" customWidth="1"/>
    <col min="15" max="16" width="10.6640625" style="152"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244</v>
      </c>
      <c r="M1" s="150" t="s">
        <v>246</v>
      </c>
      <c r="N1" s="150" t="s">
        <v>247</v>
      </c>
      <c r="O1" s="150" t="s">
        <v>248</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c r="P4"/>
    </row>
    <row r="5" spans="1:16">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c r="P5"/>
    </row>
    <row r="6" spans="1:16">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c r="P6"/>
    </row>
    <row r="7" spans="1:16">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c r="P7"/>
    </row>
    <row r="8" spans="1:16">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c r="P8"/>
    </row>
    <row r="9" spans="1:16">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c r="P9"/>
    </row>
    <row r="10" spans="1:16">
      <c r="A10" s="150" t="s">
        <v>130</v>
      </c>
      <c r="B10" s="150">
        <v>6</v>
      </c>
      <c r="C10" s="150">
        <v>6</v>
      </c>
      <c r="D10" s="150" t="s">
        <v>231</v>
      </c>
      <c r="E10" s="150" t="s">
        <v>231</v>
      </c>
      <c r="F10" s="150">
        <v>63</v>
      </c>
      <c r="G10" s="150" t="s">
        <v>234</v>
      </c>
      <c r="H10" s="150" t="s">
        <v>136</v>
      </c>
      <c r="I10" s="150" t="s">
        <v>239</v>
      </c>
      <c r="J10" s="150" t="s">
        <v>239</v>
      </c>
      <c r="K10" s="150" t="s">
        <v>283</v>
      </c>
      <c r="L10" s="176">
        <v>19433.333333333332</v>
      </c>
      <c r="M10" s="176">
        <v>22216.666666666668</v>
      </c>
      <c r="N10" s="176">
        <v>1557.7761927397332</v>
      </c>
      <c r="O10" s="176">
        <v>2522.2344590990542</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76">
        <v>26333.333333333332</v>
      </c>
      <c r="M11" s="176">
        <v>21416.666666666668</v>
      </c>
      <c r="N11" s="176">
        <v>2250.9257354845581</v>
      </c>
      <c r="O11" s="176">
        <v>2538.0438661825169</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76">
        <v>10433.333333333334</v>
      </c>
      <c r="M12" s="176">
        <v>10566.666666666666</v>
      </c>
      <c r="N12" s="176">
        <v>3277.6007485150894</v>
      </c>
      <c r="O12" s="176">
        <v>6462.404093421168</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76">
        <v>23583.333333333332</v>
      </c>
      <c r="M13" s="176">
        <v>25083.333333333332</v>
      </c>
      <c r="N13" s="176">
        <v>5225.4824338683502</v>
      </c>
      <c r="O13" s="176">
        <v>5953.2904067134759</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50" t="s">
        <v>132</v>
      </c>
      <c r="M21" s="150" t="s">
        <v>132</v>
      </c>
      <c r="N21" s="150" t="s">
        <v>132</v>
      </c>
      <c r="O21" s="150" t="s">
        <v>132</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50" t="s">
        <v>132</v>
      </c>
      <c r="M22" s="150" t="s">
        <v>132</v>
      </c>
      <c r="N22" s="150" t="s">
        <v>132</v>
      </c>
      <c r="O22" s="150" t="s">
        <v>132</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50" t="s">
        <v>132</v>
      </c>
      <c r="M23" s="150" t="s">
        <v>132</v>
      </c>
      <c r="N23" s="150" t="s">
        <v>132</v>
      </c>
      <c r="O23" s="150" t="s">
        <v>132</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50" t="s">
        <v>132</v>
      </c>
      <c r="M24" s="150" t="s">
        <v>132</v>
      </c>
      <c r="N24" s="150" t="s">
        <v>132</v>
      </c>
      <c r="O24" s="150" t="s">
        <v>132</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50" t="s">
        <v>132</v>
      </c>
      <c r="M26" s="150" t="s">
        <v>132</v>
      </c>
      <c r="N26" s="150" t="s">
        <v>132</v>
      </c>
      <c r="O26" s="150" t="s">
        <v>132</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50" t="s">
        <v>132</v>
      </c>
      <c r="M27" s="150" t="s">
        <v>132</v>
      </c>
      <c r="N27" s="150" t="s">
        <v>132</v>
      </c>
      <c r="O27" s="150" t="s">
        <v>132</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50" t="s">
        <v>132</v>
      </c>
      <c r="M28" s="150" t="s">
        <v>132</v>
      </c>
      <c r="N28" s="150" t="s">
        <v>132</v>
      </c>
      <c r="O28" s="150" t="s">
        <v>132</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50" t="s">
        <v>132</v>
      </c>
      <c r="M29" s="150" t="s">
        <v>132</v>
      </c>
      <c r="N29" s="150" t="s">
        <v>132</v>
      </c>
      <c r="O29" s="150" t="s">
        <v>132</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77">
        <v>23600</v>
      </c>
      <c r="M69" s="177">
        <v>23800</v>
      </c>
      <c r="N69" s="176">
        <v>2302.1728866442677</v>
      </c>
      <c r="O69" s="176">
        <v>2588.435821108957</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77">
        <v>31800</v>
      </c>
      <c r="M70" s="177">
        <v>30200</v>
      </c>
      <c r="N70" s="176">
        <v>1923.5384061671346</v>
      </c>
      <c r="O70" s="176">
        <v>2588.435821108957</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77">
        <v>32400</v>
      </c>
      <c r="M71" s="177">
        <v>30400</v>
      </c>
      <c r="N71" s="176">
        <v>3974.9213828703582</v>
      </c>
      <c r="O71" s="176">
        <v>1816.590212458495</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77">
        <v>30800</v>
      </c>
      <c r="M72" s="177">
        <v>26800</v>
      </c>
      <c r="N72" s="176">
        <v>3701.3511046643494</v>
      </c>
      <c r="O72" s="176">
        <v>2387.4672772626645</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77">
        <v>29600</v>
      </c>
      <c r="M73" s="177">
        <v>27200</v>
      </c>
      <c r="N73" s="176">
        <v>2966.4793948382653</v>
      </c>
      <c r="O73" s="176">
        <v>1643.1676725154985</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77">
        <v>23400</v>
      </c>
      <c r="M74" s="177">
        <v>21200</v>
      </c>
      <c r="N74" s="176">
        <v>3049.5901363953813</v>
      </c>
      <c r="O74" s="176">
        <v>2952.96461204668</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77">
        <v>25400</v>
      </c>
      <c r="M75" s="177">
        <v>32400</v>
      </c>
      <c r="N75" s="176">
        <v>2701.851217221259</v>
      </c>
      <c r="O75" s="176">
        <v>1140.175425099138</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77">
        <v>28200</v>
      </c>
      <c r="M76" s="177">
        <v>31400</v>
      </c>
      <c r="N76" s="176">
        <v>1923.5384061671346</v>
      </c>
      <c r="O76" s="176">
        <v>547.72255750516615</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77">
        <v>28200</v>
      </c>
      <c r="M77" s="177">
        <v>31200</v>
      </c>
      <c r="N77" s="176">
        <v>1923.5384061671346</v>
      </c>
      <c r="O77" s="176">
        <v>1483.2396974191327</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77">
        <v>29200</v>
      </c>
      <c r="M78" s="177">
        <v>29200</v>
      </c>
      <c r="N78" s="176">
        <v>1788.8543819998317</v>
      </c>
      <c r="O78" s="176">
        <v>1303.8404810405298</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7">
        <v>26600</v>
      </c>
      <c r="M79" s="177">
        <v>30600</v>
      </c>
      <c r="N79" s="176">
        <v>3646.9165057620939</v>
      </c>
      <c r="O79" s="176">
        <v>2792.8480087537882</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7">
        <v>28000</v>
      </c>
      <c r="M80" s="177">
        <v>30400</v>
      </c>
      <c r="N80" s="176">
        <v>1000</v>
      </c>
      <c r="O80" s="176">
        <v>2190.8902300206646</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7">
        <v>31600</v>
      </c>
      <c r="M81" s="177">
        <v>35800</v>
      </c>
      <c r="N81" s="176">
        <v>3130.4951684997054</v>
      </c>
      <c r="O81" s="176">
        <v>3114.4823004794875</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7">
        <v>30400</v>
      </c>
      <c r="M82" s="177">
        <v>31600</v>
      </c>
      <c r="N82" s="176">
        <v>1140.175425099138</v>
      </c>
      <c r="O82" s="176">
        <v>1816.590212458495</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7">
        <v>30000</v>
      </c>
      <c r="M83" s="177">
        <v>28200</v>
      </c>
      <c r="N83" s="176">
        <v>4690.4157598234297</v>
      </c>
      <c r="O83" s="176">
        <v>4494.4410108488464</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7">
        <v>28400</v>
      </c>
      <c r="M84" s="177">
        <v>28400</v>
      </c>
      <c r="N84" s="176">
        <v>1516.57508881031</v>
      </c>
      <c r="O84" s="176">
        <v>2509.9800796022269</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7">
        <v>30000</v>
      </c>
      <c r="M85" s="177">
        <v>27600</v>
      </c>
      <c r="N85" s="176">
        <v>1000</v>
      </c>
      <c r="O85" s="176">
        <v>1341.6407864998739</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7">
        <v>30800</v>
      </c>
      <c r="M86" s="177">
        <v>30000</v>
      </c>
      <c r="N86" s="176">
        <v>2387.4672772626645</v>
      </c>
      <c r="O86" s="176">
        <v>1581.1388300841897</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7">
        <v>31800</v>
      </c>
      <c r="M87" s="177">
        <v>30000</v>
      </c>
      <c r="N87" s="176">
        <v>2683.2815729997478</v>
      </c>
      <c r="O87" s="176">
        <v>1732.0508075688772</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7">
        <v>29800</v>
      </c>
      <c r="M88" s="177">
        <v>31600</v>
      </c>
      <c r="N88" s="176">
        <v>2387.4672772626645</v>
      </c>
      <c r="O88" s="176">
        <v>1949.3588689617927</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7">
        <v>24200</v>
      </c>
      <c r="M89" s="177">
        <v>26800</v>
      </c>
      <c r="N89" s="181">
        <v>1483.2396974191327</v>
      </c>
      <c r="O89" s="181">
        <v>1303.8404810405298</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7">
        <v>25000</v>
      </c>
      <c r="M90" s="177">
        <v>27600</v>
      </c>
      <c r="N90" s="181">
        <v>2236.0679774997898</v>
      </c>
      <c r="O90" s="181">
        <v>547.72255750516615</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7">
        <v>25000</v>
      </c>
      <c r="M91" s="177">
        <v>25600</v>
      </c>
      <c r="N91" s="181">
        <v>1870.8286933869706</v>
      </c>
      <c r="O91" s="181">
        <v>894.42719099991587</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7">
        <v>24600</v>
      </c>
      <c r="M92" s="177">
        <v>25600</v>
      </c>
      <c r="N92" s="181">
        <v>547.72255750516615</v>
      </c>
      <c r="O92" s="181">
        <v>1673.3200530681511</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7">
        <v>25200</v>
      </c>
      <c r="M93" s="177">
        <v>26600</v>
      </c>
      <c r="N93" s="181">
        <v>2489.9799195977466</v>
      </c>
      <c r="O93" s="181">
        <v>547.72255750516615</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7">
        <v>25400</v>
      </c>
      <c r="M94" s="177">
        <v>26800</v>
      </c>
      <c r="N94" s="181">
        <v>547.72255750516615</v>
      </c>
      <c r="O94" s="181">
        <v>447.21359549995793</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00"/>
  <sheetViews>
    <sheetView workbookViewId="0">
      <selection activeCell="O11" sqref="O11"/>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2" style="152" bestFit="1" customWidth="1"/>
    <col min="13" max="13" width="11" style="152" bestFit="1" customWidth="1"/>
    <col min="14" max="14" width="13.1640625" style="152" bestFit="1" customWidth="1"/>
    <col min="15" max="16" width="12.83203125" style="152"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249</v>
      </c>
      <c r="M1" s="150" t="s">
        <v>250</v>
      </c>
      <c r="N1" s="150" t="s">
        <v>267</v>
      </c>
      <c r="O1" s="150" t="s">
        <v>252</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c r="P4"/>
    </row>
    <row r="5" spans="1:16">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c r="P5"/>
    </row>
    <row r="6" spans="1:16">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c r="P6"/>
    </row>
    <row r="7" spans="1:16">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c r="P7"/>
    </row>
    <row r="8" spans="1:16">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c r="P8"/>
    </row>
    <row r="9" spans="1:16">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c r="P9"/>
    </row>
    <row r="10" spans="1:16">
      <c r="A10" s="150" t="s">
        <v>130</v>
      </c>
      <c r="B10" s="150">
        <v>6</v>
      </c>
      <c r="C10" s="150">
        <v>6</v>
      </c>
      <c r="D10" s="150" t="s">
        <v>231</v>
      </c>
      <c r="E10" s="150" t="s">
        <v>231</v>
      </c>
      <c r="F10" s="150">
        <v>63</v>
      </c>
      <c r="G10" s="150" t="s">
        <v>234</v>
      </c>
      <c r="H10" s="150" t="s">
        <v>136</v>
      </c>
      <c r="I10" s="150" t="s">
        <v>239</v>
      </c>
      <c r="J10" s="150" t="s">
        <v>239</v>
      </c>
      <c r="K10" s="150" t="s">
        <v>283</v>
      </c>
      <c r="L10" s="176">
        <v>16900</v>
      </c>
      <c r="M10" s="176">
        <v>13716.666666666666</v>
      </c>
      <c r="N10" s="176">
        <v>3758.7231874667227</v>
      </c>
      <c r="O10" s="176">
        <v>4664.9401568151598</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76">
        <v>16066.666666666666</v>
      </c>
      <c r="M11" s="176">
        <v>15033.333333333334</v>
      </c>
      <c r="N11" s="176">
        <v>4466.1691265184581</v>
      </c>
      <c r="O11" s="176">
        <v>1594.5741333242086</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76">
        <v>12683.333333333334</v>
      </c>
      <c r="M12" s="176">
        <v>11450</v>
      </c>
      <c r="N12" s="176">
        <v>1931.2344929258784</v>
      </c>
      <c r="O12" s="176">
        <v>806.84571015777237</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76">
        <v>14216.666666666666</v>
      </c>
      <c r="M13" s="176">
        <v>13766.666666666666</v>
      </c>
      <c r="N13" s="176">
        <v>2769.416304325995</v>
      </c>
      <c r="O13" s="176">
        <v>1746.6157753400289</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76">
        <v>43996.67276975383</v>
      </c>
      <c r="M21" s="176">
        <v>42823.569841515171</v>
      </c>
      <c r="N21" s="176">
        <v>2793.4822547541407</v>
      </c>
      <c r="O21" s="176">
        <v>2813.6385204476101</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76">
        <v>41659.577228394504</v>
      </c>
      <c r="M22" s="176">
        <v>41067.397866955049</v>
      </c>
      <c r="N22" s="176">
        <v>1558.6177042327056</v>
      </c>
      <c r="O22" s="176">
        <v>2239.3118724694177</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76">
        <v>43242.182798821501</v>
      </c>
      <c r="M23" s="176">
        <v>41766.082324702162</v>
      </c>
      <c r="N23" s="176">
        <v>1437.6943545594402</v>
      </c>
      <c r="O23" s="176">
        <v>2522.6474826638732</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76">
        <v>42627.907679987402</v>
      </c>
      <c r="M24" s="176">
        <v>37554.205503027471</v>
      </c>
      <c r="N24" s="176">
        <v>3181.3371046240745</v>
      </c>
      <c r="O24" s="176">
        <v>5361.4023492187634</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79">
        <v>14178.35585</v>
      </c>
      <c r="M26" s="179">
        <v>14786.660545000001</v>
      </c>
      <c r="N26" s="161">
        <v>1417.835585</v>
      </c>
      <c r="O26" s="161">
        <v>1478.6660545</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79">
        <v>16847.522309999997</v>
      </c>
      <c r="M27" s="179">
        <v>14607.832156666665</v>
      </c>
      <c r="N27" s="161">
        <v>1684.7522309999997</v>
      </c>
      <c r="O27" s="161">
        <v>1460.7832156666666</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76">
        <v>29336.903986906065</v>
      </c>
      <c r="M28" s="176">
        <v>30589.267439056275</v>
      </c>
      <c r="N28" s="176">
        <v>2010.5698846269543</v>
      </c>
      <c r="O28" s="176">
        <v>3681.4958413379632</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76">
        <v>30615.518486723238</v>
      </c>
      <c r="M29" s="176">
        <v>30495.161009484757</v>
      </c>
      <c r="N29" s="176">
        <v>969.56673176889342</v>
      </c>
      <c r="O29" s="176">
        <v>407.05824387770298</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77">
        <v>26000</v>
      </c>
      <c r="M69" s="177">
        <v>26200</v>
      </c>
      <c r="N69" s="176">
        <v>6670.8320320631665</v>
      </c>
      <c r="O69" s="176">
        <v>447.21359549995793</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77">
        <v>15280</v>
      </c>
      <c r="M70" s="177">
        <v>14800</v>
      </c>
      <c r="N70" s="176">
        <v>1380.9417076763234</v>
      </c>
      <c r="O70" s="176">
        <v>1809.6961070853858</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77">
        <v>16140</v>
      </c>
      <c r="M71" s="177">
        <v>15560</v>
      </c>
      <c r="N71" s="176">
        <v>1460.4793733565702</v>
      </c>
      <c r="O71" s="176">
        <v>993.98189118313417</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77">
        <v>17200</v>
      </c>
      <c r="M72" s="177">
        <v>16980</v>
      </c>
      <c r="N72" s="176">
        <v>1385.6406460551018</v>
      </c>
      <c r="O72" s="176">
        <v>1336.7871932360813</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77">
        <v>17740</v>
      </c>
      <c r="M73" s="177">
        <v>16940</v>
      </c>
      <c r="N73" s="176">
        <v>1221.8837915284744</v>
      </c>
      <c r="O73" s="176">
        <v>1709.6783323186851</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77">
        <v>25800</v>
      </c>
      <c r="M74" s="177">
        <v>30200</v>
      </c>
      <c r="N74" s="176">
        <v>2588.435821108957</v>
      </c>
      <c r="O74" s="176">
        <v>836.66002653407554</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77">
        <v>14940</v>
      </c>
      <c r="M75" s="177">
        <v>15060</v>
      </c>
      <c r="N75" s="176">
        <v>988.93882520608929</v>
      </c>
      <c r="O75" s="176">
        <v>1946.2785001124582</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77">
        <v>15420</v>
      </c>
      <c r="M76" s="177">
        <v>15380</v>
      </c>
      <c r="N76" s="176">
        <v>736.20649277223845</v>
      </c>
      <c r="O76" s="176">
        <v>952.36547606473005</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77">
        <v>15880</v>
      </c>
      <c r="M77" s="177">
        <v>16140</v>
      </c>
      <c r="N77" s="176">
        <v>990.95913134699958</v>
      </c>
      <c r="O77" s="176">
        <v>1965.4516020497681</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77">
        <v>18600</v>
      </c>
      <c r="M78" s="177">
        <v>18200</v>
      </c>
      <c r="N78" s="176">
        <v>754.983443527075</v>
      </c>
      <c r="O78" s="176">
        <v>412.31056256176606</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7">
        <v>15580</v>
      </c>
      <c r="M79" s="177">
        <v>15180</v>
      </c>
      <c r="N79" s="176">
        <v>1886.001060445089</v>
      </c>
      <c r="O79" s="176">
        <v>2233.1591971912794</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7">
        <v>18000</v>
      </c>
      <c r="M80" s="177">
        <v>19280</v>
      </c>
      <c r="N80" s="176">
        <v>1246.9963913339925</v>
      </c>
      <c r="O80" s="176">
        <v>1938.2982226685347</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7">
        <v>20740</v>
      </c>
      <c r="M81" s="177">
        <v>23200</v>
      </c>
      <c r="N81" s="176">
        <v>2864.9607327151971</v>
      </c>
      <c r="O81" s="176">
        <v>1095.4451150103323</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7">
        <v>21600</v>
      </c>
      <c r="M82" s="177">
        <v>24600</v>
      </c>
      <c r="N82" s="176">
        <v>1949.3588689617927</v>
      </c>
      <c r="O82" s="176">
        <v>2701.851217221259</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7">
        <v>21440</v>
      </c>
      <c r="M83" s="177">
        <v>24480</v>
      </c>
      <c r="N83" s="176">
        <v>2498.5996077803261</v>
      </c>
      <c r="O83" s="176">
        <v>4780.3765542057454</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7">
        <v>11920</v>
      </c>
      <c r="M84" s="177">
        <v>10860</v>
      </c>
      <c r="N84" s="176">
        <v>1684.3396332094071</v>
      </c>
      <c r="O84" s="176">
        <v>1112.65448365609</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7">
        <v>13300</v>
      </c>
      <c r="M85" s="177">
        <v>11440</v>
      </c>
      <c r="N85" s="176">
        <v>3876.2094886628611</v>
      </c>
      <c r="O85" s="176">
        <v>2218.7834504520715</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7">
        <v>12440</v>
      </c>
      <c r="M86" s="177">
        <v>11120</v>
      </c>
      <c r="N86" s="176">
        <v>1600.9372255026117</v>
      </c>
      <c r="O86" s="176">
        <v>819.75606127676792</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7">
        <v>12060</v>
      </c>
      <c r="M87" s="177">
        <v>12160</v>
      </c>
      <c r="N87" s="176">
        <v>1123.8327277669039</v>
      </c>
      <c r="O87" s="176">
        <v>1624.1921068642096</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7">
        <v>14980</v>
      </c>
      <c r="M88" s="177">
        <v>16720</v>
      </c>
      <c r="N88" s="176">
        <v>1181.9475453673906</v>
      </c>
      <c r="O88" s="176">
        <v>1407.8352176302453</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7">
        <v>12660</v>
      </c>
      <c r="M89" s="177">
        <v>11980</v>
      </c>
      <c r="N89" s="181">
        <v>594.13803110051788</v>
      </c>
      <c r="O89" s="181">
        <v>408.65633483405099</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7">
        <v>12780</v>
      </c>
      <c r="M90" s="177">
        <v>12400</v>
      </c>
      <c r="N90" s="181">
        <v>687.0225614927067</v>
      </c>
      <c r="O90" s="181">
        <v>308.22070014844883</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7">
        <v>13300</v>
      </c>
      <c r="M91" s="177">
        <v>11880</v>
      </c>
      <c r="N91" s="181">
        <v>604.15229867972857</v>
      </c>
      <c r="O91" s="181">
        <v>521.53619241621186</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7">
        <v>12900</v>
      </c>
      <c r="M92" s="177">
        <v>11680</v>
      </c>
      <c r="N92" s="181">
        <v>595.81876439064922</v>
      </c>
      <c r="O92" s="181">
        <v>521.53619241621186</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7">
        <v>12860</v>
      </c>
      <c r="M93" s="177">
        <v>12060</v>
      </c>
      <c r="N93" s="181">
        <v>838.45095265018335</v>
      </c>
      <c r="O93" s="181">
        <v>691.37544069774424</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7">
        <v>12280</v>
      </c>
      <c r="M94" s="177">
        <v>12580</v>
      </c>
      <c r="N94" s="181">
        <v>641.87226143524845</v>
      </c>
      <c r="O94" s="181">
        <v>286.35642126552705</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00"/>
  <sheetViews>
    <sheetView workbookViewId="0">
      <selection sqref="A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0.83203125" style="152"/>
    <col min="13" max="13" width="9.83203125" style="152" bestFit="1" customWidth="1"/>
    <col min="14" max="14" width="12.6640625" style="152" bestFit="1" customWidth="1"/>
    <col min="15" max="15" width="11.6640625" style="152" bestFit="1" customWidth="1"/>
    <col min="16" max="16" width="10.83203125" style="152"/>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253</v>
      </c>
      <c r="M1" s="150" t="s">
        <v>254</v>
      </c>
      <c r="N1" s="150" t="s">
        <v>255</v>
      </c>
      <c r="O1" s="150" t="s">
        <v>256</v>
      </c>
    </row>
    <row r="2" spans="1:15">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row>
    <row r="3" spans="1:15">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row>
    <row r="4" spans="1:15">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row>
    <row r="5" spans="1:15">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row>
    <row r="6" spans="1:15">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row>
    <row r="7" spans="1:15">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row>
    <row r="8" spans="1:15">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row>
    <row r="9" spans="1:15">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76">
        <v>6733.333333333333</v>
      </c>
      <c r="M10" s="177">
        <v>5100</v>
      </c>
      <c r="N10" s="176">
        <v>1905.4308349207176</v>
      </c>
      <c r="O10" s="176">
        <v>1385.6406460551018</v>
      </c>
    </row>
    <row r="11" spans="1:15">
      <c r="A11" s="150" t="s">
        <v>130</v>
      </c>
      <c r="B11" s="150">
        <v>6</v>
      </c>
      <c r="C11" s="150">
        <v>6</v>
      </c>
      <c r="D11" s="150" t="s">
        <v>231</v>
      </c>
      <c r="E11" s="150" t="s">
        <v>231</v>
      </c>
      <c r="F11" s="150">
        <v>63</v>
      </c>
      <c r="G11" s="150" t="s">
        <v>234</v>
      </c>
      <c r="H11" s="150" t="s">
        <v>136</v>
      </c>
      <c r="I11" s="150" t="s">
        <v>239</v>
      </c>
      <c r="J11" s="150" t="s">
        <v>239</v>
      </c>
      <c r="K11" s="150" t="s">
        <v>283</v>
      </c>
      <c r="L11" s="177">
        <v>8400</v>
      </c>
      <c r="M11" s="176">
        <v>8083.333333333333</v>
      </c>
      <c r="N11" s="176">
        <v>1093.6178491593853</v>
      </c>
      <c r="O11" s="176">
        <v>1430.2680401472526</v>
      </c>
    </row>
    <row r="12" spans="1:15">
      <c r="A12" s="150" t="s">
        <v>130</v>
      </c>
      <c r="B12" s="150">
        <v>6</v>
      </c>
      <c r="C12" s="150">
        <v>6</v>
      </c>
      <c r="D12" s="150" t="s">
        <v>231</v>
      </c>
      <c r="E12" s="150" t="s">
        <v>231</v>
      </c>
      <c r="F12" s="150">
        <v>63</v>
      </c>
      <c r="G12" s="150" t="s">
        <v>234</v>
      </c>
      <c r="H12" s="150" t="s">
        <v>136</v>
      </c>
      <c r="I12" s="150" t="s">
        <v>239</v>
      </c>
      <c r="J12" s="150" t="s">
        <v>239</v>
      </c>
      <c r="K12" s="150" t="s">
        <v>283</v>
      </c>
      <c r="L12" s="177">
        <v>7000</v>
      </c>
      <c r="M12" s="176">
        <v>8383.3333333333339</v>
      </c>
      <c r="N12" s="176">
        <v>1681.6658407662326</v>
      </c>
      <c r="O12" s="176">
        <v>3028.1457472629454</v>
      </c>
    </row>
    <row r="13" spans="1:15">
      <c r="A13" s="150" t="s">
        <v>130</v>
      </c>
      <c r="B13" s="150">
        <v>6</v>
      </c>
      <c r="C13" s="150">
        <v>6</v>
      </c>
      <c r="D13" s="150" t="s">
        <v>231</v>
      </c>
      <c r="E13" s="150" t="s">
        <v>231</v>
      </c>
      <c r="F13" s="150">
        <v>63</v>
      </c>
      <c r="G13" s="150" t="s">
        <v>234</v>
      </c>
      <c r="H13" s="150" t="s">
        <v>136</v>
      </c>
      <c r="I13" s="150" t="s">
        <v>239</v>
      </c>
      <c r="J13" s="150" t="s">
        <v>240</v>
      </c>
      <c r="K13" s="150" t="s">
        <v>284</v>
      </c>
      <c r="L13" s="177">
        <v>7700</v>
      </c>
      <c r="M13" s="177">
        <v>8150</v>
      </c>
      <c r="N13" s="176">
        <v>1317.5735273600483</v>
      </c>
      <c r="O13" s="176">
        <v>811.7881497040961</v>
      </c>
    </row>
    <row r="14" spans="1:15">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50" t="s">
        <v>132</v>
      </c>
      <c r="M21" s="150" t="s">
        <v>132</v>
      </c>
      <c r="N21" s="150" t="s">
        <v>132</v>
      </c>
      <c r="O21" s="150" t="s">
        <v>132</v>
      </c>
    </row>
    <row r="22" spans="1:15">
      <c r="A22" s="150" t="s">
        <v>133</v>
      </c>
      <c r="B22" s="150">
        <v>8</v>
      </c>
      <c r="C22" s="150">
        <v>8</v>
      </c>
      <c r="D22" s="150" t="s">
        <v>231</v>
      </c>
      <c r="E22" s="150" t="s">
        <v>231</v>
      </c>
      <c r="F22" s="150">
        <v>63</v>
      </c>
      <c r="G22" s="150" t="s">
        <v>234</v>
      </c>
      <c r="H22" s="150" t="s">
        <v>137</v>
      </c>
      <c r="I22" s="150" t="s">
        <v>239</v>
      </c>
      <c r="J22" s="151" t="s">
        <v>241</v>
      </c>
      <c r="K22" s="150" t="s">
        <v>284</v>
      </c>
      <c r="L22" s="150" t="s">
        <v>132</v>
      </c>
      <c r="M22" s="150" t="s">
        <v>132</v>
      </c>
      <c r="N22" s="150" t="s">
        <v>132</v>
      </c>
      <c r="O22" s="150" t="s">
        <v>132</v>
      </c>
    </row>
    <row r="23" spans="1:15">
      <c r="A23" s="150" t="s">
        <v>133</v>
      </c>
      <c r="B23" s="150">
        <v>8</v>
      </c>
      <c r="C23" s="150">
        <v>8</v>
      </c>
      <c r="D23" s="150" t="s">
        <v>231</v>
      </c>
      <c r="E23" s="150" t="s">
        <v>231</v>
      </c>
      <c r="F23" s="150">
        <v>63</v>
      </c>
      <c r="G23" s="150" t="s">
        <v>234</v>
      </c>
      <c r="H23" s="150" t="s">
        <v>137</v>
      </c>
      <c r="I23" s="150" t="s">
        <v>240</v>
      </c>
      <c r="J23" s="151" t="s">
        <v>241</v>
      </c>
      <c r="K23" s="150" t="s">
        <v>284</v>
      </c>
      <c r="L23" s="150" t="s">
        <v>132</v>
      </c>
      <c r="M23" s="150" t="s">
        <v>132</v>
      </c>
      <c r="N23" s="150" t="s">
        <v>132</v>
      </c>
      <c r="O23" s="150" t="s">
        <v>132</v>
      </c>
    </row>
    <row r="24" spans="1:15">
      <c r="A24" s="150" t="s">
        <v>133</v>
      </c>
      <c r="B24" s="150">
        <v>8</v>
      </c>
      <c r="C24" s="150">
        <v>8</v>
      </c>
      <c r="D24" s="150" t="s">
        <v>231</v>
      </c>
      <c r="E24" s="150" t="s">
        <v>231</v>
      </c>
      <c r="F24" s="150">
        <v>63</v>
      </c>
      <c r="G24" s="150" t="s">
        <v>234</v>
      </c>
      <c r="H24" s="150" t="s">
        <v>137</v>
      </c>
      <c r="I24" s="150" t="s">
        <v>239</v>
      </c>
      <c r="J24" s="151" t="s">
        <v>241</v>
      </c>
      <c r="K24" s="150" t="s">
        <v>284</v>
      </c>
      <c r="L24" s="150" t="s">
        <v>132</v>
      </c>
      <c r="M24" s="150" t="s">
        <v>132</v>
      </c>
      <c r="N24" s="150" t="s">
        <v>132</v>
      </c>
      <c r="O24" s="150" t="s">
        <v>132</v>
      </c>
    </row>
    <row r="25" spans="1:15">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50" t="s">
        <v>132</v>
      </c>
      <c r="M26" s="150" t="s">
        <v>132</v>
      </c>
      <c r="N26" s="150" t="s">
        <v>132</v>
      </c>
      <c r="O26" s="150" t="s">
        <v>132</v>
      </c>
    </row>
    <row r="27" spans="1:15">
      <c r="A27" s="150" t="s">
        <v>135</v>
      </c>
      <c r="B27" s="150">
        <v>6</v>
      </c>
      <c r="C27" s="150">
        <v>6</v>
      </c>
      <c r="D27" s="150" t="s">
        <v>231</v>
      </c>
      <c r="E27" s="150" t="s">
        <v>231</v>
      </c>
      <c r="F27" s="150">
        <v>79</v>
      </c>
      <c r="G27" s="150" t="s">
        <v>235</v>
      </c>
      <c r="H27" s="150" t="s">
        <v>136</v>
      </c>
      <c r="I27" s="150" t="s">
        <v>239</v>
      </c>
      <c r="J27" s="150" t="s">
        <v>240</v>
      </c>
      <c r="K27" s="150" t="s">
        <v>284</v>
      </c>
      <c r="L27" s="150" t="s">
        <v>132</v>
      </c>
      <c r="M27" s="150" t="s">
        <v>132</v>
      </c>
      <c r="N27" s="150" t="s">
        <v>132</v>
      </c>
      <c r="O27" s="150" t="s">
        <v>132</v>
      </c>
    </row>
    <row r="28" spans="1:15">
      <c r="A28" s="150" t="s">
        <v>138</v>
      </c>
      <c r="B28" s="150">
        <v>4</v>
      </c>
      <c r="C28" s="150">
        <v>4</v>
      </c>
      <c r="D28" s="150" t="s">
        <v>231</v>
      </c>
      <c r="E28" s="150" t="s">
        <v>231</v>
      </c>
      <c r="F28" s="150">
        <v>63</v>
      </c>
      <c r="G28" s="150" t="s">
        <v>235</v>
      </c>
      <c r="H28" s="150" t="s">
        <v>137</v>
      </c>
      <c r="I28" s="150" t="s">
        <v>132</v>
      </c>
      <c r="J28" s="150" t="s">
        <v>239</v>
      </c>
      <c r="K28" s="150" t="s">
        <v>285</v>
      </c>
      <c r="L28" s="150" t="s">
        <v>132</v>
      </c>
      <c r="M28" s="150" t="s">
        <v>132</v>
      </c>
      <c r="N28" s="150" t="s">
        <v>132</v>
      </c>
      <c r="O28" s="150" t="s">
        <v>132</v>
      </c>
    </row>
    <row r="29" spans="1:15">
      <c r="A29" s="150" t="s">
        <v>138</v>
      </c>
      <c r="B29" s="150">
        <v>4</v>
      </c>
      <c r="C29" s="150">
        <v>4</v>
      </c>
      <c r="D29" s="150" t="s">
        <v>231</v>
      </c>
      <c r="E29" s="150" t="s">
        <v>231</v>
      </c>
      <c r="F29" s="150">
        <v>63</v>
      </c>
      <c r="G29" s="150" t="s">
        <v>235</v>
      </c>
      <c r="H29" s="150" t="s">
        <v>137</v>
      </c>
      <c r="I29" s="150" t="s">
        <v>132</v>
      </c>
      <c r="J29" s="150" t="s">
        <v>239</v>
      </c>
      <c r="K29" s="150" t="s">
        <v>285</v>
      </c>
      <c r="L29" s="150" t="s">
        <v>132</v>
      </c>
      <c r="M29" s="150" t="s">
        <v>132</v>
      </c>
      <c r="N29" s="150" t="s">
        <v>132</v>
      </c>
      <c r="O29" s="150" t="s">
        <v>132</v>
      </c>
    </row>
    <row r="30" spans="1:15">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77">
        <v>4800</v>
      </c>
      <c r="M69" s="177">
        <v>4520</v>
      </c>
      <c r="N69" s="176">
        <v>565.68542494923804</v>
      </c>
      <c r="O69" s="176">
        <v>408.65633483405099</v>
      </c>
    </row>
    <row r="70" spans="1:15">
      <c r="A70" s="150" t="s">
        <v>146</v>
      </c>
      <c r="B70" s="150">
        <v>5</v>
      </c>
      <c r="C70" s="150">
        <v>5</v>
      </c>
      <c r="D70" s="150" t="s">
        <v>231</v>
      </c>
      <c r="E70" s="150" t="s">
        <v>231</v>
      </c>
      <c r="F70" s="150">
        <v>63</v>
      </c>
      <c r="G70" s="150" t="s">
        <v>234</v>
      </c>
      <c r="H70" s="150" t="s">
        <v>136</v>
      </c>
      <c r="I70" s="151" t="s">
        <v>239</v>
      </c>
      <c r="J70" s="150" t="s">
        <v>240</v>
      </c>
      <c r="K70" s="150" t="s">
        <v>283</v>
      </c>
      <c r="L70" s="177">
        <v>3280</v>
      </c>
      <c r="M70" s="177">
        <v>3280</v>
      </c>
      <c r="N70" s="176">
        <v>130.38404810405297</v>
      </c>
      <c r="O70" s="176">
        <v>216.79483388678798</v>
      </c>
    </row>
    <row r="71" spans="1:15">
      <c r="A71" s="150" t="s">
        <v>146</v>
      </c>
      <c r="B71" s="150">
        <v>5</v>
      </c>
      <c r="C71" s="150">
        <v>5</v>
      </c>
      <c r="D71" s="150" t="s">
        <v>231</v>
      </c>
      <c r="E71" s="150" t="s">
        <v>231</v>
      </c>
      <c r="F71" s="150">
        <v>63</v>
      </c>
      <c r="G71" s="150" t="s">
        <v>234</v>
      </c>
      <c r="H71" s="150" t="s">
        <v>136</v>
      </c>
      <c r="I71" s="151" t="s">
        <v>239</v>
      </c>
      <c r="J71" s="150" t="s">
        <v>240</v>
      </c>
      <c r="K71" s="150" t="s">
        <v>283</v>
      </c>
      <c r="L71" s="177">
        <v>3620</v>
      </c>
      <c r="M71" s="177">
        <v>3380</v>
      </c>
      <c r="N71" s="176">
        <v>491.93495504995371</v>
      </c>
      <c r="O71" s="176">
        <v>277.48873851023217</v>
      </c>
    </row>
    <row r="72" spans="1:15">
      <c r="A72" s="150" t="s">
        <v>146</v>
      </c>
      <c r="B72" s="150">
        <v>5</v>
      </c>
      <c r="C72" s="150">
        <v>5</v>
      </c>
      <c r="D72" s="150" t="s">
        <v>231</v>
      </c>
      <c r="E72" s="150" t="s">
        <v>231</v>
      </c>
      <c r="F72" s="150">
        <v>63</v>
      </c>
      <c r="G72" s="150" t="s">
        <v>234</v>
      </c>
      <c r="H72" s="150" t="s">
        <v>136</v>
      </c>
      <c r="I72" s="151" t="s">
        <v>239</v>
      </c>
      <c r="J72" s="150" t="s">
        <v>240</v>
      </c>
      <c r="K72" s="150" t="s">
        <v>283</v>
      </c>
      <c r="L72" s="177">
        <v>3520</v>
      </c>
      <c r="M72" s="177">
        <v>3600</v>
      </c>
      <c r="N72" s="176">
        <v>342.05262752974141</v>
      </c>
      <c r="O72" s="176">
        <v>452.76925690687085</v>
      </c>
    </row>
    <row r="73" spans="1:15">
      <c r="A73" s="150" t="s">
        <v>146</v>
      </c>
      <c r="B73" s="150">
        <v>5</v>
      </c>
      <c r="C73" s="150">
        <v>5</v>
      </c>
      <c r="D73" s="150" t="s">
        <v>231</v>
      </c>
      <c r="E73" s="150" t="s">
        <v>231</v>
      </c>
      <c r="F73" s="150">
        <v>63</v>
      </c>
      <c r="G73" s="150" t="s">
        <v>234</v>
      </c>
      <c r="H73" s="150" t="s">
        <v>136</v>
      </c>
      <c r="I73" s="151" t="s">
        <v>239</v>
      </c>
      <c r="J73" s="150" t="s">
        <v>240</v>
      </c>
      <c r="K73" s="150" t="s">
        <v>283</v>
      </c>
      <c r="L73" s="177">
        <v>3760</v>
      </c>
      <c r="M73" s="177">
        <v>3460</v>
      </c>
      <c r="N73" s="176">
        <v>336.15472627943223</v>
      </c>
      <c r="O73" s="176">
        <v>466.90470119715008</v>
      </c>
    </row>
    <row r="74" spans="1:15">
      <c r="A74" s="150" t="s">
        <v>146</v>
      </c>
      <c r="B74" s="150">
        <v>5</v>
      </c>
      <c r="C74" s="150">
        <v>5</v>
      </c>
      <c r="D74" s="150" t="s">
        <v>231</v>
      </c>
      <c r="E74" s="150" t="s">
        <v>231</v>
      </c>
      <c r="F74" s="150">
        <v>63</v>
      </c>
      <c r="G74" s="150" t="s">
        <v>234</v>
      </c>
      <c r="H74" s="150" t="s">
        <v>136</v>
      </c>
      <c r="I74" s="151" t="s">
        <v>240</v>
      </c>
      <c r="J74" s="151" t="s">
        <v>241</v>
      </c>
      <c r="K74" s="150" t="s">
        <v>283</v>
      </c>
      <c r="L74" s="177">
        <v>3520</v>
      </c>
      <c r="M74" s="177">
        <v>3380</v>
      </c>
      <c r="N74" s="176">
        <v>432.43496620879307</v>
      </c>
      <c r="O74" s="176">
        <v>277.48873851023217</v>
      </c>
    </row>
    <row r="75" spans="1:15">
      <c r="A75" s="150" t="s">
        <v>146</v>
      </c>
      <c r="B75" s="150">
        <v>5</v>
      </c>
      <c r="C75" s="150">
        <v>5</v>
      </c>
      <c r="D75" s="150" t="s">
        <v>231</v>
      </c>
      <c r="E75" s="150" t="s">
        <v>231</v>
      </c>
      <c r="F75" s="150">
        <v>63</v>
      </c>
      <c r="G75" s="150" t="s">
        <v>234</v>
      </c>
      <c r="H75" s="150" t="s">
        <v>136</v>
      </c>
      <c r="I75" s="151" t="s">
        <v>239</v>
      </c>
      <c r="J75" s="151" t="s">
        <v>241</v>
      </c>
      <c r="K75" s="150" t="s">
        <v>283</v>
      </c>
      <c r="L75" s="177">
        <v>3240</v>
      </c>
      <c r="M75" s="177">
        <v>3340</v>
      </c>
      <c r="N75" s="176">
        <v>371.48351242013422</v>
      </c>
      <c r="O75" s="176">
        <v>207.3644135332772</v>
      </c>
    </row>
    <row r="76" spans="1:15">
      <c r="A76" s="150" t="s">
        <v>146</v>
      </c>
      <c r="B76" s="150">
        <v>5</v>
      </c>
      <c r="C76" s="150">
        <v>5</v>
      </c>
      <c r="D76" s="150" t="s">
        <v>231</v>
      </c>
      <c r="E76" s="150" t="s">
        <v>231</v>
      </c>
      <c r="F76" s="150">
        <v>63</v>
      </c>
      <c r="G76" s="150" t="s">
        <v>234</v>
      </c>
      <c r="H76" s="150" t="s">
        <v>136</v>
      </c>
      <c r="I76" s="151" t="s">
        <v>239</v>
      </c>
      <c r="J76" s="151" t="s">
        <v>241</v>
      </c>
      <c r="K76" s="150" t="s">
        <v>283</v>
      </c>
      <c r="L76" s="177">
        <v>3380</v>
      </c>
      <c r="M76" s="177">
        <v>3100</v>
      </c>
      <c r="N76" s="176">
        <v>268.32815729997475</v>
      </c>
      <c r="O76" s="176">
        <v>187.08286933869707</v>
      </c>
    </row>
    <row r="77" spans="1:15">
      <c r="A77" s="150" t="s">
        <v>146</v>
      </c>
      <c r="B77" s="150">
        <v>5</v>
      </c>
      <c r="C77" s="150">
        <v>5</v>
      </c>
      <c r="D77" s="150" t="s">
        <v>231</v>
      </c>
      <c r="E77" s="150" t="s">
        <v>231</v>
      </c>
      <c r="F77" s="150">
        <v>63</v>
      </c>
      <c r="G77" s="150" t="s">
        <v>234</v>
      </c>
      <c r="H77" s="150" t="s">
        <v>136</v>
      </c>
      <c r="I77" s="151" t="s">
        <v>239</v>
      </c>
      <c r="J77" s="151" t="s">
        <v>241</v>
      </c>
      <c r="K77" s="150" t="s">
        <v>283</v>
      </c>
      <c r="L77" s="177">
        <v>3440</v>
      </c>
      <c r="M77" s="177">
        <v>3320</v>
      </c>
      <c r="N77" s="176">
        <v>350.71355833500365</v>
      </c>
      <c r="O77" s="176">
        <v>526.30789467763066</v>
      </c>
    </row>
    <row r="78" spans="1:15">
      <c r="A78" s="150" t="s">
        <v>146</v>
      </c>
      <c r="B78" s="150">
        <v>5</v>
      </c>
      <c r="C78" s="150">
        <v>5</v>
      </c>
      <c r="D78" s="150" t="s">
        <v>231</v>
      </c>
      <c r="E78" s="150" t="s">
        <v>231</v>
      </c>
      <c r="F78" s="150">
        <v>63</v>
      </c>
      <c r="G78" s="150" t="s">
        <v>234</v>
      </c>
      <c r="H78" s="150" t="s">
        <v>136</v>
      </c>
      <c r="I78" s="151" t="s">
        <v>239</v>
      </c>
      <c r="J78" s="151" t="s">
        <v>241</v>
      </c>
      <c r="K78" s="150" t="s">
        <v>283</v>
      </c>
      <c r="L78" s="177">
        <v>4080</v>
      </c>
      <c r="M78" s="177">
        <v>3780</v>
      </c>
      <c r="N78" s="176">
        <v>481.6637831516918</v>
      </c>
      <c r="O78" s="176">
        <v>531.03672189407018</v>
      </c>
    </row>
    <row r="79" spans="1:15">
      <c r="A79" s="150" t="s">
        <v>147</v>
      </c>
      <c r="B79" s="150">
        <v>5</v>
      </c>
      <c r="C79" s="150">
        <v>5</v>
      </c>
      <c r="D79" s="150" t="s">
        <v>231</v>
      </c>
      <c r="E79" s="150" t="s">
        <v>231</v>
      </c>
      <c r="F79" s="150">
        <v>63</v>
      </c>
      <c r="G79" s="150" t="s">
        <v>234</v>
      </c>
      <c r="H79" s="150" t="s">
        <v>136</v>
      </c>
      <c r="I79" s="151" t="s">
        <v>240</v>
      </c>
      <c r="J79" s="150" t="s">
        <v>240</v>
      </c>
      <c r="K79" s="150" t="s">
        <v>283</v>
      </c>
      <c r="L79" s="177">
        <v>2038</v>
      </c>
      <c r="M79" s="177">
        <v>2520</v>
      </c>
      <c r="N79" s="176">
        <v>230.69460331789298</v>
      </c>
      <c r="O79" s="176">
        <v>319.37438845342626</v>
      </c>
    </row>
    <row r="80" spans="1:15">
      <c r="A80" s="150" t="s">
        <v>147</v>
      </c>
      <c r="B80" s="150">
        <v>5</v>
      </c>
      <c r="C80" s="150">
        <v>5</v>
      </c>
      <c r="D80" s="150" t="s">
        <v>231</v>
      </c>
      <c r="E80" s="150" t="s">
        <v>231</v>
      </c>
      <c r="F80" s="150">
        <v>63</v>
      </c>
      <c r="G80" s="150" t="s">
        <v>234</v>
      </c>
      <c r="H80" s="150" t="s">
        <v>136</v>
      </c>
      <c r="I80" s="151" t="s">
        <v>240</v>
      </c>
      <c r="J80" s="151" t="s">
        <v>241</v>
      </c>
      <c r="K80" s="150" t="s">
        <v>283</v>
      </c>
      <c r="L80" s="177">
        <v>2052</v>
      </c>
      <c r="M80" s="177">
        <v>2340</v>
      </c>
      <c r="N80" s="176">
        <v>67.230945255886439</v>
      </c>
      <c r="O80" s="176">
        <v>279.28480087537883</v>
      </c>
    </row>
    <row r="81" spans="1:15">
      <c r="A81" s="150" t="s">
        <v>147</v>
      </c>
      <c r="B81" s="150">
        <v>5</v>
      </c>
      <c r="C81" s="150">
        <v>5</v>
      </c>
      <c r="D81" s="150" t="s">
        <v>231</v>
      </c>
      <c r="E81" s="150" t="s">
        <v>231</v>
      </c>
      <c r="F81" s="150">
        <v>63</v>
      </c>
      <c r="G81" s="150" t="s">
        <v>234</v>
      </c>
      <c r="H81" s="150" t="s">
        <v>136</v>
      </c>
      <c r="I81" s="151" t="s">
        <v>240</v>
      </c>
      <c r="J81" s="151" t="s">
        <v>241</v>
      </c>
      <c r="K81" s="150" t="s">
        <v>283</v>
      </c>
      <c r="L81" s="177">
        <v>2224</v>
      </c>
      <c r="M81" s="177">
        <v>2580</v>
      </c>
      <c r="N81" s="176">
        <v>252.74493071078598</v>
      </c>
      <c r="O81" s="176">
        <v>311.44823004794875</v>
      </c>
    </row>
    <row r="82" spans="1:15">
      <c r="A82" s="150" t="s">
        <v>147</v>
      </c>
      <c r="B82" s="150">
        <v>5</v>
      </c>
      <c r="C82" s="150">
        <v>5</v>
      </c>
      <c r="D82" s="150" t="s">
        <v>231</v>
      </c>
      <c r="E82" s="150" t="s">
        <v>231</v>
      </c>
      <c r="F82" s="150">
        <v>63</v>
      </c>
      <c r="G82" s="150" t="s">
        <v>234</v>
      </c>
      <c r="H82" s="150" t="s">
        <v>136</v>
      </c>
      <c r="I82" s="151" t="s">
        <v>240</v>
      </c>
      <c r="J82" s="151" t="s">
        <v>241</v>
      </c>
      <c r="K82" s="150" t="s">
        <v>283</v>
      </c>
      <c r="L82" s="177">
        <v>2200</v>
      </c>
      <c r="M82" s="177">
        <v>2560</v>
      </c>
      <c r="N82" s="176">
        <v>158.11388300841898</v>
      </c>
      <c r="O82" s="176">
        <v>151.65750888103102</v>
      </c>
    </row>
    <row r="83" spans="1:15">
      <c r="A83" s="150" t="s">
        <v>147</v>
      </c>
      <c r="B83" s="150">
        <v>5</v>
      </c>
      <c r="C83" s="150">
        <v>5</v>
      </c>
      <c r="D83" s="150" t="s">
        <v>231</v>
      </c>
      <c r="E83" s="150" t="s">
        <v>231</v>
      </c>
      <c r="F83" s="150">
        <v>63</v>
      </c>
      <c r="G83" s="150" t="s">
        <v>234</v>
      </c>
      <c r="H83" s="150" t="s">
        <v>136</v>
      </c>
      <c r="I83" s="151" t="s">
        <v>240</v>
      </c>
      <c r="J83" s="151" t="s">
        <v>241</v>
      </c>
      <c r="K83" s="150" t="s">
        <v>283</v>
      </c>
      <c r="L83" s="177">
        <v>2740</v>
      </c>
      <c r="M83" s="177">
        <v>2720</v>
      </c>
      <c r="N83" s="176">
        <v>320.93613071762422</v>
      </c>
      <c r="O83" s="176">
        <v>311.44823004794875</v>
      </c>
    </row>
    <row r="84" spans="1:15">
      <c r="A84" s="150" t="s">
        <v>147</v>
      </c>
      <c r="B84" s="150">
        <v>5</v>
      </c>
      <c r="C84" s="150">
        <v>5</v>
      </c>
      <c r="D84" s="150" t="s">
        <v>231</v>
      </c>
      <c r="E84" s="150" t="s">
        <v>231</v>
      </c>
      <c r="F84" s="150">
        <v>63</v>
      </c>
      <c r="G84" s="150" t="s">
        <v>234</v>
      </c>
      <c r="H84" s="150" t="s">
        <v>136</v>
      </c>
      <c r="I84" s="151" t="s">
        <v>239</v>
      </c>
      <c r="J84" s="150" t="s">
        <v>240</v>
      </c>
      <c r="K84" s="150" t="s">
        <v>283</v>
      </c>
      <c r="L84" s="177">
        <v>3100</v>
      </c>
      <c r="M84" s="177">
        <v>2400</v>
      </c>
      <c r="N84" s="176">
        <v>360.55512754639892</v>
      </c>
      <c r="O84" s="176">
        <v>158.11388300841898</v>
      </c>
    </row>
    <row r="85" spans="1:15">
      <c r="A85" s="150" t="s">
        <v>147</v>
      </c>
      <c r="B85" s="150">
        <v>5</v>
      </c>
      <c r="C85" s="150">
        <v>5</v>
      </c>
      <c r="D85" s="150" t="s">
        <v>231</v>
      </c>
      <c r="E85" s="150" t="s">
        <v>231</v>
      </c>
      <c r="F85" s="150">
        <v>63</v>
      </c>
      <c r="G85" s="150" t="s">
        <v>234</v>
      </c>
      <c r="H85" s="150" t="s">
        <v>136</v>
      </c>
      <c r="I85" s="151" t="s">
        <v>239</v>
      </c>
      <c r="J85" s="151" t="s">
        <v>241</v>
      </c>
      <c r="K85" s="150" t="s">
        <v>283</v>
      </c>
      <c r="L85" s="177">
        <v>2540</v>
      </c>
      <c r="M85" s="177">
        <v>2300</v>
      </c>
      <c r="N85" s="176">
        <v>89.442719099991592</v>
      </c>
      <c r="O85" s="176">
        <v>122.47448713915891</v>
      </c>
    </row>
    <row r="86" spans="1:15">
      <c r="A86" s="150" t="s">
        <v>147</v>
      </c>
      <c r="B86" s="150">
        <v>5</v>
      </c>
      <c r="C86" s="150">
        <v>5</v>
      </c>
      <c r="D86" s="150" t="s">
        <v>231</v>
      </c>
      <c r="E86" s="150" t="s">
        <v>231</v>
      </c>
      <c r="F86" s="150">
        <v>63</v>
      </c>
      <c r="G86" s="150" t="s">
        <v>234</v>
      </c>
      <c r="H86" s="150" t="s">
        <v>136</v>
      </c>
      <c r="I86" s="151" t="s">
        <v>239</v>
      </c>
      <c r="J86" s="151" t="s">
        <v>241</v>
      </c>
      <c r="K86" s="150" t="s">
        <v>283</v>
      </c>
      <c r="L86" s="177">
        <v>2540</v>
      </c>
      <c r="M86" s="177">
        <v>2440</v>
      </c>
      <c r="N86" s="176">
        <v>134.16407864998737</v>
      </c>
      <c r="O86" s="176">
        <v>151.65750888103102</v>
      </c>
    </row>
    <row r="87" spans="1:15">
      <c r="A87" s="150" t="s">
        <v>147</v>
      </c>
      <c r="B87" s="150">
        <v>5</v>
      </c>
      <c r="C87" s="150">
        <v>5</v>
      </c>
      <c r="D87" s="150" t="s">
        <v>231</v>
      </c>
      <c r="E87" s="150" t="s">
        <v>231</v>
      </c>
      <c r="F87" s="150">
        <v>63</v>
      </c>
      <c r="G87" s="150" t="s">
        <v>234</v>
      </c>
      <c r="H87" s="150" t="s">
        <v>136</v>
      </c>
      <c r="I87" s="151" t="s">
        <v>239</v>
      </c>
      <c r="J87" s="151" t="s">
        <v>241</v>
      </c>
      <c r="K87" s="150" t="s">
        <v>283</v>
      </c>
      <c r="L87" s="177">
        <v>2740</v>
      </c>
      <c r="M87" s="177">
        <v>2380</v>
      </c>
      <c r="N87" s="176">
        <v>114.0175425099138</v>
      </c>
      <c r="O87" s="176">
        <v>164.31676725154983</v>
      </c>
    </row>
    <row r="88" spans="1:15">
      <c r="A88" s="150" t="s">
        <v>147</v>
      </c>
      <c r="B88" s="150">
        <v>5</v>
      </c>
      <c r="C88" s="150">
        <v>5</v>
      </c>
      <c r="D88" s="150" t="s">
        <v>231</v>
      </c>
      <c r="E88" s="150" t="s">
        <v>231</v>
      </c>
      <c r="F88" s="150">
        <v>63</v>
      </c>
      <c r="G88" s="150" t="s">
        <v>234</v>
      </c>
      <c r="H88" s="150" t="s">
        <v>136</v>
      </c>
      <c r="I88" s="151" t="s">
        <v>239</v>
      </c>
      <c r="J88" s="151" t="s">
        <v>241</v>
      </c>
      <c r="K88" s="150" t="s">
        <v>283</v>
      </c>
      <c r="L88" s="177">
        <v>2900</v>
      </c>
      <c r="M88" s="177">
        <v>3340</v>
      </c>
      <c r="N88" s="176">
        <v>353.55339059327378</v>
      </c>
      <c r="O88" s="176">
        <v>687.74995456197598</v>
      </c>
    </row>
    <row r="89" spans="1:15">
      <c r="A89" s="150" t="s">
        <v>148</v>
      </c>
      <c r="B89" s="150">
        <v>5</v>
      </c>
      <c r="C89" s="150">
        <v>5</v>
      </c>
      <c r="D89" s="150" t="s">
        <v>231</v>
      </c>
      <c r="E89" s="150" t="s">
        <v>231</v>
      </c>
      <c r="F89" s="150">
        <v>56</v>
      </c>
      <c r="G89" s="150" t="s">
        <v>234</v>
      </c>
      <c r="H89" s="150" t="s">
        <v>136</v>
      </c>
      <c r="I89" s="151" t="s">
        <v>239</v>
      </c>
      <c r="J89" s="151" t="s">
        <v>241</v>
      </c>
      <c r="K89" s="150" t="s">
        <v>283</v>
      </c>
      <c r="L89" s="177">
        <v>3240</v>
      </c>
      <c r="M89" s="177">
        <v>3120</v>
      </c>
      <c r="N89" s="181">
        <v>114.0175425099138</v>
      </c>
      <c r="O89" s="181">
        <v>130.38404810405297</v>
      </c>
    </row>
    <row r="90" spans="1:15">
      <c r="A90" s="150" t="s">
        <v>148</v>
      </c>
      <c r="B90" s="150">
        <v>5</v>
      </c>
      <c r="C90" s="150">
        <v>5</v>
      </c>
      <c r="D90" s="150" t="s">
        <v>231</v>
      </c>
      <c r="E90" s="150" t="s">
        <v>231</v>
      </c>
      <c r="F90" s="150">
        <v>56</v>
      </c>
      <c r="G90" s="150" t="s">
        <v>234</v>
      </c>
      <c r="H90" s="150" t="s">
        <v>136</v>
      </c>
      <c r="I90" s="151" t="s">
        <v>239</v>
      </c>
      <c r="J90" s="151" t="s">
        <v>241</v>
      </c>
      <c r="K90" s="150" t="s">
        <v>283</v>
      </c>
      <c r="L90" s="177">
        <v>3400</v>
      </c>
      <c r="M90" s="177">
        <v>3220</v>
      </c>
      <c r="N90" s="181">
        <v>100</v>
      </c>
      <c r="O90" s="181">
        <v>83.66600265340756</v>
      </c>
    </row>
    <row r="91" spans="1:15">
      <c r="A91" s="150" t="s">
        <v>148</v>
      </c>
      <c r="B91" s="150">
        <v>5</v>
      </c>
      <c r="C91" s="150">
        <v>5</v>
      </c>
      <c r="D91" s="150" t="s">
        <v>231</v>
      </c>
      <c r="E91" s="150" t="s">
        <v>231</v>
      </c>
      <c r="F91" s="150">
        <v>56</v>
      </c>
      <c r="G91" s="150" t="s">
        <v>234</v>
      </c>
      <c r="H91" s="150" t="s">
        <v>136</v>
      </c>
      <c r="I91" s="151" t="s">
        <v>239</v>
      </c>
      <c r="J91" s="151" t="s">
        <v>241</v>
      </c>
      <c r="K91" s="150" t="s">
        <v>283</v>
      </c>
      <c r="L91" s="177">
        <v>3100</v>
      </c>
      <c r="M91" s="177">
        <v>3080</v>
      </c>
      <c r="N91" s="181">
        <v>212.13203435596427</v>
      </c>
      <c r="O91" s="181">
        <v>109.54451150103323</v>
      </c>
    </row>
    <row r="92" spans="1:15">
      <c r="A92" s="150" t="s">
        <v>148</v>
      </c>
      <c r="B92" s="150">
        <v>5</v>
      </c>
      <c r="C92" s="150">
        <v>5</v>
      </c>
      <c r="D92" s="150" t="s">
        <v>231</v>
      </c>
      <c r="E92" s="150" t="s">
        <v>231</v>
      </c>
      <c r="F92" s="150">
        <v>56</v>
      </c>
      <c r="G92" s="150" t="s">
        <v>234</v>
      </c>
      <c r="H92" s="150" t="s">
        <v>136</v>
      </c>
      <c r="I92" s="151" t="s">
        <v>239</v>
      </c>
      <c r="J92" s="151" t="s">
        <v>241</v>
      </c>
      <c r="K92" s="150" t="s">
        <v>283</v>
      </c>
      <c r="L92" s="177">
        <v>3120</v>
      </c>
      <c r="M92" s="177">
        <v>3100</v>
      </c>
      <c r="N92" s="181">
        <v>130.38404810405297</v>
      </c>
      <c r="O92" s="181">
        <v>70.710678118654755</v>
      </c>
    </row>
    <row r="93" spans="1:15">
      <c r="A93" s="150" t="s">
        <v>148</v>
      </c>
      <c r="B93" s="150">
        <v>5</v>
      </c>
      <c r="C93" s="150">
        <v>5</v>
      </c>
      <c r="D93" s="150" t="s">
        <v>231</v>
      </c>
      <c r="E93" s="150" t="s">
        <v>231</v>
      </c>
      <c r="F93" s="150">
        <v>56</v>
      </c>
      <c r="G93" s="150" t="s">
        <v>234</v>
      </c>
      <c r="H93" s="150" t="s">
        <v>136</v>
      </c>
      <c r="I93" s="151" t="s">
        <v>239</v>
      </c>
      <c r="J93" s="151" t="s">
        <v>241</v>
      </c>
      <c r="K93" s="150" t="s">
        <v>283</v>
      </c>
      <c r="L93" s="177">
        <v>3220</v>
      </c>
      <c r="M93" s="177">
        <v>3020</v>
      </c>
      <c r="N93" s="181">
        <v>178.88543819998318</v>
      </c>
      <c r="O93" s="181">
        <v>83.66600265340756</v>
      </c>
    </row>
    <row r="94" spans="1:15">
      <c r="A94" s="150" t="s">
        <v>148</v>
      </c>
      <c r="B94" s="150">
        <v>5</v>
      </c>
      <c r="C94" s="150">
        <v>5</v>
      </c>
      <c r="D94" s="150" t="s">
        <v>231</v>
      </c>
      <c r="E94" s="150" t="s">
        <v>231</v>
      </c>
      <c r="F94" s="150">
        <v>56</v>
      </c>
      <c r="G94" s="150" t="s">
        <v>234</v>
      </c>
      <c r="H94" s="150" t="s">
        <v>136</v>
      </c>
      <c r="I94" s="151" t="s">
        <v>239</v>
      </c>
      <c r="J94" s="151" t="s">
        <v>241</v>
      </c>
      <c r="K94" s="150" t="s">
        <v>283</v>
      </c>
      <c r="L94" s="177">
        <v>3060</v>
      </c>
      <c r="M94" s="177">
        <v>2960</v>
      </c>
      <c r="N94" s="181">
        <v>207.3644135332772</v>
      </c>
      <c r="O94" s="181">
        <v>89.442719099991592</v>
      </c>
    </row>
    <row r="95" spans="1:15">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row>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00"/>
  <sheetViews>
    <sheetView workbookViewId="0">
      <selection sqref="A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2.1640625" style="152" bestFit="1" customWidth="1"/>
    <col min="13" max="13" width="11.1640625" style="152" bestFit="1" customWidth="1"/>
    <col min="14" max="14" width="13.1640625" style="152" bestFit="1" customWidth="1"/>
    <col min="15" max="16" width="13" style="152"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257</v>
      </c>
      <c r="M1" s="150" t="s">
        <v>258</v>
      </c>
      <c r="N1" s="150" t="s">
        <v>268</v>
      </c>
      <c r="O1" s="150" t="s">
        <v>259</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c r="P4"/>
    </row>
    <row r="5" spans="1:16">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c r="P5"/>
    </row>
    <row r="6" spans="1:16">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c r="P6"/>
    </row>
    <row r="7" spans="1:16">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c r="P7"/>
    </row>
    <row r="8" spans="1:16">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c r="P8"/>
    </row>
    <row r="9" spans="1:16">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c r="P9"/>
    </row>
    <row r="10" spans="1:16">
      <c r="A10" s="150" t="s">
        <v>130</v>
      </c>
      <c r="B10" s="150">
        <v>6</v>
      </c>
      <c r="C10" s="150">
        <v>6</v>
      </c>
      <c r="D10" s="150" t="s">
        <v>231</v>
      </c>
      <c r="E10" s="150" t="s">
        <v>231</v>
      </c>
      <c r="F10" s="150">
        <v>63</v>
      </c>
      <c r="G10" s="150" t="s">
        <v>234</v>
      </c>
      <c r="H10" s="150" t="s">
        <v>136</v>
      </c>
      <c r="I10" s="150" t="s">
        <v>239</v>
      </c>
      <c r="J10" s="150" t="s">
        <v>239</v>
      </c>
      <c r="K10" s="150" t="s">
        <v>283</v>
      </c>
      <c r="L10" s="150" t="s">
        <v>132</v>
      </c>
      <c r="M10" s="150" t="s">
        <v>132</v>
      </c>
      <c r="N10" s="150" t="s">
        <v>132</v>
      </c>
      <c r="O10" s="150" t="s">
        <v>132</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50" t="s">
        <v>132</v>
      </c>
      <c r="M11" s="150" t="s">
        <v>132</v>
      </c>
      <c r="N11" s="150" t="s">
        <v>132</v>
      </c>
      <c r="O11" s="150" t="s">
        <v>132</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50" t="s">
        <v>132</v>
      </c>
      <c r="M12" s="150" t="s">
        <v>132</v>
      </c>
      <c r="N12" s="150" t="s">
        <v>132</v>
      </c>
      <c r="O12" s="150" t="s">
        <v>132</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50" t="s">
        <v>132</v>
      </c>
      <c r="M13" s="150" t="s">
        <v>132</v>
      </c>
      <c r="N13" s="150" t="s">
        <v>132</v>
      </c>
      <c r="O13" s="150" t="s">
        <v>132</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83">
        <v>4.8979514316799344</v>
      </c>
      <c r="M21" s="183">
        <v>14.817363525477944</v>
      </c>
      <c r="N21" s="183">
        <v>0.59166385149900058</v>
      </c>
      <c r="O21" s="183">
        <v>2.9880310009875868</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83">
        <v>6.2731075957692415</v>
      </c>
      <c r="M22" s="183">
        <v>13.790966632449614</v>
      </c>
      <c r="N22" s="183">
        <v>1.0063053287624788</v>
      </c>
      <c r="O22" s="183">
        <v>1.8156956152841837</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83">
        <v>2.9293607849300405</v>
      </c>
      <c r="M23" s="183">
        <v>15.611923864683664</v>
      </c>
      <c r="N23" s="183">
        <v>1.5752974065200973</v>
      </c>
      <c r="O23" s="183">
        <v>1.582794751366577</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83">
        <v>3.4700173085728663</v>
      </c>
      <c r="M24" s="183">
        <v>8.7080915362931002</v>
      </c>
      <c r="N24" s="183">
        <v>2.467830278808218</v>
      </c>
      <c r="O24" s="183">
        <v>2.1604008094028098</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50" t="s">
        <v>132</v>
      </c>
      <c r="M26" s="150" t="s">
        <v>132</v>
      </c>
      <c r="N26" s="150" t="s">
        <v>132</v>
      </c>
      <c r="O26" s="150" t="s">
        <v>132</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50" t="s">
        <v>132</v>
      </c>
      <c r="M27" s="150" t="s">
        <v>132</v>
      </c>
      <c r="N27" s="150" t="s">
        <v>132</v>
      </c>
      <c r="O27" s="150" t="s">
        <v>132</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83">
        <v>7.1953508237588952</v>
      </c>
      <c r="M28" s="183">
        <v>20.227669268842558</v>
      </c>
      <c r="N28" s="183">
        <v>2.0649342424567911</v>
      </c>
      <c r="O28" s="183">
        <v>2.7628754917310285</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83">
        <v>7.3324883012109332</v>
      </c>
      <c r="M29" s="183">
        <v>21.766359562465318</v>
      </c>
      <c r="N29" s="183">
        <v>2.9658544364200279</v>
      </c>
      <c r="O29" s="183">
        <v>2.8260779340675688</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67">
        <v>36.302157216318292</v>
      </c>
      <c r="M69" s="167">
        <v>41.272709039212742</v>
      </c>
      <c r="N69" s="183">
        <v>6.284409417497435</v>
      </c>
      <c r="O69" s="183">
        <v>1.9720435066906057</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67">
        <v>7.3454229997900908</v>
      </c>
      <c r="M70" s="167">
        <v>10.856481812728296</v>
      </c>
      <c r="N70" s="183">
        <v>0.46673215488313929</v>
      </c>
      <c r="O70" s="183">
        <v>2.2414810698702965</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67">
        <v>6.8841059607283084</v>
      </c>
      <c r="M71" s="167">
        <v>9.7442421016817189</v>
      </c>
      <c r="N71" s="183">
        <v>0.42952331685176448</v>
      </c>
      <c r="O71" s="183">
        <v>0.99539448233109107</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67">
        <v>6.9527163744958687</v>
      </c>
      <c r="M72" s="167">
        <v>9.6264304257563307</v>
      </c>
      <c r="N72" s="183">
        <v>0.43066231466664112</v>
      </c>
      <c r="O72" s="183">
        <v>1.0956803250018394</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67">
        <v>5.6309398108618405</v>
      </c>
      <c r="M73" s="167">
        <v>8.6631413424467123</v>
      </c>
      <c r="N73" s="183">
        <v>0.48624764436614559</v>
      </c>
      <c r="O73" s="183">
        <v>0.4570324012766192</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76">
        <v>35.090883369157005</v>
      </c>
      <c r="M74" s="167">
        <v>47.158126158568237</v>
      </c>
      <c r="N74" s="183">
        <v>4.1402142836335498</v>
      </c>
      <c r="O74" s="183">
        <v>2.5694769474924484</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76">
        <v>12.314026303633593</v>
      </c>
      <c r="M75" s="167">
        <v>15.447609313822813</v>
      </c>
      <c r="N75" s="183">
        <v>1.1606701368096297</v>
      </c>
      <c r="O75" s="183">
        <v>2.0664326409235216</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76">
        <v>11.065519094232389</v>
      </c>
      <c r="M76" s="167">
        <v>13.397481976501529</v>
      </c>
      <c r="N76" s="183">
        <v>1.2886007121081287</v>
      </c>
      <c r="O76" s="183">
        <v>1.1983252055834168</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76">
        <v>9.850230339502172</v>
      </c>
      <c r="M77" s="167">
        <v>12.860487747142415</v>
      </c>
      <c r="N77" s="183">
        <v>0.85247957384969175</v>
      </c>
      <c r="O77" s="183">
        <v>1.6204029141223566</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76">
        <v>9.5227303690476042</v>
      </c>
      <c r="M78" s="167">
        <v>12.492694927088156</v>
      </c>
      <c r="N78" s="183">
        <v>1.0613939214185633</v>
      </c>
      <c r="O78" s="183">
        <v>0.43733469843751649</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67">
        <v>22.415943495751186</v>
      </c>
      <c r="M79" s="167">
        <v>26.598095612590811</v>
      </c>
      <c r="N79" s="183">
        <v>2.8553732554056523</v>
      </c>
      <c r="O79" s="183">
        <v>3.5079094942781928</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67">
        <v>31.659926028109027</v>
      </c>
      <c r="M80" s="167">
        <v>35.071251708350914</v>
      </c>
      <c r="N80" s="183">
        <v>3.8293615131646566</v>
      </c>
      <c r="O80" s="183">
        <v>3.4994572951258114</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67">
        <v>40.52721460039858</v>
      </c>
      <c r="M81" s="167">
        <v>45.076714925891245</v>
      </c>
      <c r="N81" s="183">
        <v>6.3000605642707903</v>
      </c>
      <c r="O81" s="183">
        <v>1.7402644653871935</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67">
        <v>39.467189258695861</v>
      </c>
      <c r="M82" s="167">
        <v>44.353843100834098</v>
      </c>
      <c r="N82" s="183">
        <v>2.5754302529946362</v>
      </c>
      <c r="O82" s="183">
        <v>7.0293815271623759</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67">
        <v>38.833855469581565</v>
      </c>
      <c r="M83" s="167">
        <v>39.628155922109272</v>
      </c>
      <c r="N83" s="183">
        <v>5.4778775493913452</v>
      </c>
      <c r="O83" s="183">
        <v>6.3985879779534498</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67">
        <v>7.5982615474181117</v>
      </c>
      <c r="M84" s="167">
        <v>8.2628574616404045</v>
      </c>
      <c r="N84" s="183">
        <v>1.0308931405562316</v>
      </c>
      <c r="O84" s="183">
        <v>1.0412788409927249</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67">
        <v>12.977879135523665</v>
      </c>
      <c r="M85" s="167">
        <v>11.34723324824623</v>
      </c>
      <c r="N85" s="183">
        <v>3.7450326498835058</v>
      </c>
      <c r="O85" s="183">
        <v>0.81085727964417531</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67">
        <v>13.563849916731897</v>
      </c>
      <c r="M86" s="167">
        <v>14.765563417255882</v>
      </c>
      <c r="N86" s="183">
        <v>0.37047683117250452</v>
      </c>
      <c r="O86" s="183">
        <v>1.10080939150235</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67">
        <v>16.713406550048411</v>
      </c>
      <c r="M87" s="167">
        <v>16.93646794626186</v>
      </c>
      <c r="N87" s="183">
        <v>1.3329337427654331</v>
      </c>
      <c r="O87" s="183">
        <v>2.7990470636332772</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67">
        <v>20.035168943840123</v>
      </c>
      <c r="M88" s="167">
        <v>22.375369578844584</v>
      </c>
      <c r="N88" s="183">
        <v>1.3255810769042931</v>
      </c>
      <c r="O88" s="183">
        <v>1.6293314230265377</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67">
        <v>8.9170716017925553</v>
      </c>
      <c r="M89" s="167">
        <v>9.6386322265255977</v>
      </c>
      <c r="N89" s="184">
        <v>0.30846857099496061</v>
      </c>
      <c r="O89" s="184">
        <v>9.2632458155801692E-2</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67">
        <v>8.9529727155988592</v>
      </c>
      <c r="M90" s="167">
        <v>10.392875469065082</v>
      </c>
      <c r="N90" s="184">
        <v>0.40173239932894284</v>
      </c>
      <c r="O90" s="184">
        <v>0.95786861475542462</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67">
        <v>8.9951065643114951</v>
      </c>
      <c r="M91" s="167">
        <v>9.3244554618270392</v>
      </c>
      <c r="N91" s="184">
        <v>0.61277369328783038</v>
      </c>
      <c r="O91" s="184">
        <v>0.25293340501119044</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67">
        <v>8.4164319764258604</v>
      </c>
      <c r="M92" s="167">
        <v>9.0351432008049759</v>
      </c>
      <c r="N92" s="184">
        <v>0.36003641696510857</v>
      </c>
      <c r="O92" s="184">
        <v>0.79576003372443826</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67">
        <v>8.8923154459592748</v>
      </c>
      <c r="M93" s="167">
        <v>9.4369285434094987</v>
      </c>
      <c r="N93" s="184">
        <v>0.62806106754654523</v>
      </c>
      <c r="O93" s="184">
        <v>0.50080011168931193</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67">
        <v>8.4994976876297628</v>
      </c>
      <c r="M94" s="167">
        <v>9.4741516087545712</v>
      </c>
      <c r="N94" s="184">
        <v>0.57227268543496057</v>
      </c>
      <c r="O94" s="184">
        <v>0.264600242602196</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sheetData>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00"/>
  <sheetViews>
    <sheetView workbookViewId="0">
      <selection activeCell="J99" sqref="J99"/>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1" style="152" bestFit="1" customWidth="1"/>
    <col min="13" max="13" width="10" style="152" bestFit="1" customWidth="1"/>
    <col min="14" max="14" width="12.83203125" style="152" bestFit="1" customWidth="1"/>
    <col min="15" max="16" width="11.83203125" style="152"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260</v>
      </c>
      <c r="M1" s="150" t="s">
        <v>261</v>
      </c>
      <c r="N1" s="150" t="s">
        <v>262</v>
      </c>
      <c r="O1" s="150" t="s">
        <v>263</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c r="P4"/>
    </row>
    <row r="5" spans="1:16">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c r="P5"/>
    </row>
    <row r="6" spans="1:16">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c r="P6"/>
    </row>
    <row r="7" spans="1:16">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c r="P7"/>
    </row>
    <row r="8" spans="1:16">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c r="P8"/>
    </row>
    <row r="9" spans="1:16">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c r="P9"/>
    </row>
    <row r="10" spans="1:16">
      <c r="A10" s="150" t="s">
        <v>130</v>
      </c>
      <c r="B10" s="150">
        <v>6</v>
      </c>
      <c r="C10" s="150">
        <v>6</v>
      </c>
      <c r="D10" s="150" t="s">
        <v>231</v>
      </c>
      <c r="E10" s="150" t="s">
        <v>231</v>
      </c>
      <c r="F10" s="150">
        <v>63</v>
      </c>
      <c r="G10" s="150" t="s">
        <v>234</v>
      </c>
      <c r="H10" s="150" t="s">
        <v>136</v>
      </c>
      <c r="I10" s="150" t="s">
        <v>239</v>
      </c>
      <c r="J10" s="150" t="s">
        <v>239</v>
      </c>
      <c r="K10" s="150" t="s">
        <v>283</v>
      </c>
      <c r="L10" s="150" t="s">
        <v>132</v>
      </c>
      <c r="M10" s="150" t="s">
        <v>132</v>
      </c>
      <c r="N10" s="150" t="s">
        <v>132</v>
      </c>
      <c r="O10" s="150" t="s">
        <v>132</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50" t="s">
        <v>132</v>
      </c>
      <c r="M11" s="150" t="s">
        <v>132</v>
      </c>
      <c r="N11" s="150" t="s">
        <v>132</v>
      </c>
      <c r="O11" s="150" t="s">
        <v>132</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50" t="s">
        <v>132</v>
      </c>
      <c r="M12" s="150" t="s">
        <v>132</v>
      </c>
      <c r="N12" s="150" t="s">
        <v>132</v>
      </c>
      <c r="O12" s="150" t="s">
        <v>132</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50" t="s">
        <v>132</v>
      </c>
      <c r="M13" s="150" t="s">
        <v>132</v>
      </c>
      <c r="N13" s="150" t="s">
        <v>132</v>
      </c>
      <c r="O13" s="150" t="s">
        <v>132</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50" t="s">
        <v>132</v>
      </c>
      <c r="M21" s="150" t="s">
        <v>132</v>
      </c>
      <c r="N21" s="150" t="s">
        <v>132</v>
      </c>
      <c r="O21" s="150" t="s">
        <v>132</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50" t="s">
        <v>132</v>
      </c>
      <c r="M22" s="150" t="s">
        <v>132</v>
      </c>
      <c r="N22" s="150" t="s">
        <v>132</v>
      </c>
      <c r="O22" s="150" t="s">
        <v>132</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50" t="s">
        <v>132</v>
      </c>
      <c r="M23" s="150" t="s">
        <v>132</v>
      </c>
      <c r="N23" s="150" t="s">
        <v>132</v>
      </c>
      <c r="O23" s="150" t="s">
        <v>132</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50" t="s">
        <v>132</v>
      </c>
      <c r="M24" s="150" t="s">
        <v>132</v>
      </c>
      <c r="N24" s="150" t="s">
        <v>132</v>
      </c>
      <c r="O24" s="150" t="s">
        <v>132</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50" t="s">
        <v>132</v>
      </c>
      <c r="M26" s="150" t="s">
        <v>132</v>
      </c>
      <c r="N26" s="150" t="s">
        <v>132</v>
      </c>
      <c r="O26" s="150" t="s">
        <v>132</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50" t="s">
        <v>132</v>
      </c>
      <c r="M27" s="150" t="s">
        <v>132</v>
      </c>
      <c r="N27" s="150" t="s">
        <v>132</v>
      </c>
      <c r="O27" s="150" t="s">
        <v>132</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50" t="s">
        <v>132</v>
      </c>
      <c r="M28" s="150" t="s">
        <v>132</v>
      </c>
      <c r="N28" s="150" t="s">
        <v>132</v>
      </c>
      <c r="O28" s="150" t="s">
        <v>132</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50" t="s">
        <v>132</v>
      </c>
      <c r="M29" s="150" t="s">
        <v>132</v>
      </c>
      <c r="N29" s="150" t="s">
        <v>132</v>
      </c>
      <c r="O29" s="150" t="s">
        <v>132</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67">
        <v>29.247753485193197</v>
      </c>
      <c r="M69" s="167">
        <v>136.12548839460982</v>
      </c>
      <c r="N69" s="183">
        <v>4.4703299539236019</v>
      </c>
      <c r="O69" s="183">
        <v>33.80966180806228</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67">
        <v>21.41782218640174</v>
      </c>
      <c r="M70" s="167">
        <v>35.395458455718732</v>
      </c>
      <c r="N70" s="183">
        <v>4.0037333379259152</v>
      </c>
      <c r="O70" s="183">
        <v>5.053876302244241</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67">
        <v>22.317353463255518</v>
      </c>
      <c r="M71" s="167">
        <v>50.821799853773911</v>
      </c>
      <c r="N71" s="183">
        <v>2.2723539709803062</v>
      </c>
      <c r="O71" s="183">
        <v>7.309554127474521</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67">
        <v>26.193187664779039</v>
      </c>
      <c r="M72" s="167">
        <v>41.512376781755982</v>
      </c>
      <c r="N72" s="183">
        <v>2.364340298632726</v>
      </c>
      <c r="O72" s="183">
        <v>14.859009087853135</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67">
        <v>31.706794271811425</v>
      </c>
      <c r="M73" s="167">
        <v>35.373938204612713</v>
      </c>
      <c r="N73" s="183">
        <v>5.9660541263576494</v>
      </c>
      <c r="O73" s="183">
        <v>6.8107552086106464</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67">
        <v>31.966178320599887</v>
      </c>
      <c r="M74" s="167">
        <v>88.341560955425706</v>
      </c>
      <c r="N74" s="183">
        <v>4.0396281437837951</v>
      </c>
      <c r="O74" s="183">
        <v>21.286993671132151</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67">
        <v>22.798418991580977</v>
      </c>
      <c r="M75" s="167">
        <v>24.526795922822352</v>
      </c>
      <c r="N75" s="183">
        <v>0.52373566659641912</v>
      </c>
      <c r="O75" s="183">
        <v>2.0284687152557788</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67">
        <v>24.136077118044657</v>
      </c>
      <c r="M76" s="167">
        <v>18.785579816734632</v>
      </c>
      <c r="N76" s="183">
        <v>1.6811234084477276</v>
      </c>
      <c r="O76" s="183">
        <v>1.2863132842271974</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67">
        <v>27.674471252111914</v>
      </c>
      <c r="M77" s="167">
        <v>20.499550676873223</v>
      </c>
      <c r="N77" s="183">
        <v>2.8040338659359416</v>
      </c>
      <c r="O77" s="183">
        <v>2.2735270674489563</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67">
        <v>32.568787767076437</v>
      </c>
      <c r="M78" s="167">
        <v>22.945366036793189</v>
      </c>
      <c r="N78" s="183">
        <v>4.5059274512837177</v>
      </c>
      <c r="O78" s="183">
        <v>4.3111213939443873</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67">
        <v>19.155746239355487</v>
      </c>
      <c r="M79" s="167">
        <v>51.682464986647823</v>
      </c>
      <c r="N79" s="183">
        <v>4.4571267802769343</v>
      </c>
      <c r="O79" s="183">
        <v>27.602549037354258</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67">
        <v>16.80309670935198</v>
      </c>
      <c r="M80" s="167">
        <v>38.947535997552322</v>
      </c>
      <c r="N80" s="183">
        <v>3.5276756208614293</v>
      </c>
      <c r="O80" s="183">
        <v>3.3698221799011931</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67">
        <v>24.470511428009495</v>
      </c>
      <c r="M81" s="167">
        <v>46.059561040303322</v>
      </c>
      <c r="N81" s="183">
        <v>2.0554769576272593</v>
      </c>
      <c r="O81" s="183">
        <v>7.7952421810678967</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67">
        <v>34.441579655300202</v>
      </c>
      <c r="M82" s="167">
        <v>39.346525010306244</v>
      </c>
      <c r="N82" s="183">
        <v>3.9134840428897597</v>
      </c>
      <c r="O82" s="183">
        <v>10.633634808296922</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67">
        <v>32.302232274986807</v>
      </c>
      <c r="M83" s="167">
        <v>37.01470858041732</v>
      </c>
      <c r="N83" s="183">
        <v>4.9781986272711585</v>
      </c>
      <c r="O83" s="183">
        <v>7.8019237724546491</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67">
        <v>27.243344466928711</v>
      </c>
      <c r="M84" s="167">
        <v>22.572075100664591</v>
      </c>
      <c r="N84" s="183">
        <v>6.6037926241836686</v>
      </c>
      <c r="O84" s="183">
        <v>6.8426597492099219</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67">
        <v>22.807962125996379</v>
      </c>
      <c r="M85" s="167">
        <v>16.743003385932841</v>
      </c>
      <c r="N85" s="183">
        <v>4.754905576988401</v>
      </c>
      <c r="O85" s="183">
        <v>2.6245935487755969</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67">
        <v>22.974834855939463</v>
      </c>
      <c r="M86" s="167">
        <v>20.364009128817223</v>
      </c>
      <c r="N86" s="183">
        <v>2.4769566087666828</v>
      </c>
      <c r="O86" s="183">
        <v>1.9287443885792905</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67">
        <v>20.457126973182621</v>
      </c>
      <c r="M87" s="167">
        <v>20.184282150455854</v>
      </c>
      <c r="N87" s="183">
        <v>4.1073508032720421</v>
      </c>
      <c r="O87" s="183">
        <v>4.5068193163110593</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67">
        <v>20.888441545852693</v>
      </c>
      <c r="M88" s="167">
        <v>20.474245848441424</v>
      </c>
      <c r="N88" s="183">
        <v>1.5923253629781302</v>
      </c>
      <c r="O88" s="183">
        <v>3.6078424415061074</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6">
        <v>46.089799768355832</v>
      </c>
      <c r="M89" s="176">
        <v>59.599612109893677</v>
      </c>
      <c r="N89" s="184">
        <v>11.67126502797538</v>
      </c>
      <c r="O89" s="184">
        <v>8.8621201960057352</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6">
        <v>31.360256090900133</v>
      </c>
      <c r="M90" s="176">
        <v>47.428100653890723</v>
      </c>
      <c r="N90" s="184">
        <v>4.3370705004292693</v>
      </c>
      <c r="O90" s="184">
        <v>5.0547231091408893</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6">
        <v>27.760338258101704</v>
      </c>
      <c r="M91" s="176">
        <v>38.929234105569392</v>
      </c>
      <c r="N91" s="184">
        <v>3.123869104141392</v>
      </c>
      <c r="O91" s="184">
        <v>4.2233357719599214</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6">
        <v>30.027695008078307</v>
      </c>
      <c r="M92" s="176">
        <v>40.61737916309643</v>
      </c>
      <c r="N92" s="184">
        <v>1.4248358648017585</v>
      </c>
      <c r="O92" s="184">
        <v>6.2682559243086864</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6">
        <v>27.971762023240849</v>
      </c>
      <c r="M93" s="176">
        <v>40.717939700993057</v>
      </c>
      <c r="N93" s="184">
        <v>2.716727378897283</v>
      </c>
      <c r="O93" s="184">
        <v>3.6472659921606478</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6">
        <v>31.274793672280744</v>
      </c>
      <c r="M94" s="176">
        <v>42.375932631069773</v>
      </c>
      <c r="N94" s="184">
        <v>2.7597792419147993</v>
      </c>
      <c r="O94" s="184">
        <v>7.1823436988496994</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00"/>
  <sheetViews>
    <sheetView workbookViewId="0">
      <selection activeCell="L20" sqref="L20"/>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2.83203125" style="152" bestFit="1" customWidth="1"/>
    <col min="13" max="13" width="11.6640625" style="152" bestFit="1" customWidth="1"/>
    <col min="14" max="14" width="14.5" style="152" bestFit="1" customWidth="1"/>
    <col min="15" max="16" width="13.5" style="152"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264</v>
      </c>
      <c r="M1" s="150" t="s">
        <v>265</v>
      </c>
      <c r="N1" s="150" t="s">
        <v>266</v>
      </c>
      <c r="O1" s="150" t="s">
        <v>269</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c r="P4"/>
    </row>
    <row r="5" spans="1:16">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c r="P5"/>
    </row>
    <row r="6" spans="1:16">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c r="P6"/>
    </row>
    <row r="7" spans="1:16">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c r="P7"/>
    </row>
    <row r="8" spans="1:16">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c r="P8"/>
    </row>
    <row r="9" spans="1:16">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c r="P9"/>
    </row>
    <row r="10" spans="1:16">
      <c r="A10" s="150" t="s">
        <v>130</v>
      </c>
      <c r="B10" s="150">
        <v>6</v>
      </c>
      <c r="C10" s="150">
        <v>6</v>
      </c>
      <c r="D10" s="150" t="s">
        <v>231</v>
      </c>
      <c r="E10" s="150" t="s">
        <v>231</v>
      </c>
      <c r="F10" s="150">
        <v>63</v>
      </c>
      <c r="G10" s="150" t="s">
        <v>234</v>
      </c>
      <c r="H10" s="150" t="s">
        <v>136</v>
      </c>
      <c r="I10" s="150" t="s">
        <v>239</v>
      </c>
      <c r="J10" s="150" t="s">
        <v>239</v>
      </c>
      <c r="K10" s="150" t="s">
        <v>283</v>
      </c>
      <c r="L10" s="167">
        <v>811.66666666666663</v>
      </c>
      <c r="M10" s="167">
        <v>431.44051189264655</v>
      </c>
      <c r="N10" s="176">
        <v>304.32986489443772</v>
      </c>
      <c r="O10" s="176">
        <v>330.003118160523</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67">
        <v>71.245909938363454</v>
      </c>
      <c r="M11" s="167">
        <v>75.007351535764826</v>
      </c>
      <c r="N11" s="176">
        <v>27.39123204274501</v>
      </c>
      <c r="O11" s="176">
        <v>20.533886256588303</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67">
        <v>117.72136591771151</v>
      </c>
      <c r="M12" s="167">
        <v>80.083838853176928</v>
      </c>
      <c r="N12" s="176">
        <v>38.428698458090338</v>
      </c>
      <c r="O12" s="176">
        <v>25.384694874818148</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67">
        <v>214.27799077134569</v>
      </c>
      <c r="M13" s="167">
        <v>198.89143777148084</v>
      </c>
      <c r="N13" s="176">
        <v>86.654448217376398</v>
      </c>
      <c r="O13" s="176">
        <v>109.82742113331867</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76">
        <v>177.23985134813915</v>
      </c>
      <c r="M21" s="176">
        <v>96.029850075329279</v>
      </c>
      <c r="N21" s="176">
        <v>21.843365325488733</v>
      </c>
      <c r="O21" s="176">
        <v>7.7761112634082155</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76">
        <v>187.12353482595577</v>
      </c>
      <c r="M22" s="176">
        <v>100.59671763100582</v>
      </c>
      <c r="N22" s="176">
        <v>14.695199188441286</v>
      </c>
      <c r="O22" s="176">
        <v>8.6377165931404942</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76">
        <v>186.62651370034664</v>
      </c>
      <c r="M23" s="176">
        <v>96.773539943694942</v>
      </c>
      <c r="N23" s="176">
        <v>11.479131595611847</v>
      </c>
      <c r="O23" s="176">
        <v>11.487754110722333</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76">
        <v>171.70826343115709</v>
      </c>
      <c r="M24" s="176">
        <v>100.07658607345272</v>
      </c>
      <c r="N24" s="176">
        <v>19.820421246056878</v>
      </c>
      <c r="O24" s="176">
        <v>28.471154430222938</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79">
        <v>32.096746320000001</v>
      </c>
      <c r="M26" s="179">
        <v>33.932805333333327</v>
      </c>
      <c r="N26" s="160">
        <v>3.209674632</v>
      </c>
      <c r="O26" s="160">
        <v>3.3932805333333329</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79">
        <v>40.095978405000004</v>
      </c>
      <c r="M27" s="179">
        <v>36.200940821666663</v>
      </c>
      <c r="N27" s="160">
        <v>4.0095978405000006</v>
      </c>
      <c r="O27" s="160">
        <v>3.6200940821666663</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76">
        <v>187.87419720981339</v>
      </c>
      <c r="M28" s="176">
        <v>87.717640005948056</v>
      </c>
      <c r="N28" s="176">
        <v>23.828235664776361</v>
      </c>
      <c r="O28" s="176">
        <v>4.9430108870937257</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76">
        <v>195.14157997620748</v>
      </c>
      <c r="M29" s="176">
        <v>76.559157861698523</v>
      </c>
      <c r="N29" s="176">
        <v>24.391450702268877</v>
      </c>
      <c r="O29" s="176">
        <v>1.102407726265749</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76">
        <v>364</v>
      </c>
      <c r="M69" s="167">
        <v>210</v>
      </c>
      <c r="N69" s="183">
        <v>78.294316524253531</v>
      </c>
      <c r="O69" s="183">
        <v>7.0710678118654755</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76">
        <v>91.034033872322539</v>
      </c>
      <c r="M70" s="167">
        <v>80.915924013618607</v>
      </c>
      <c r="N70" s="183">
        <v>7.7871344135563021</v>
      </c>
      <c r="O70" s="183">
        <v>6.5465809537027013</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76">
        <v>72.196113342512234</v>
      </c>
      <c r="M71" s="167">
        <v>64.613110734436049</v>
      </c>
      <c r="N71" s="183">
        <v>7.8817393276224115</v>
      </c>
      <c r="O71" s="183">
        <v>8.4331019803490275</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76">
        <v>71.990773197354784</v>
      </c>
      <c r="M72" s="167">
        <v>63.017938451114148</v>
      </c>
      <c r="N72" s="183">
        <v>4.5367069265521813</v>
      </c>
      <c r="O72" s="183">
        <v>6.2391288007412093</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76">
        <v>67.357238188390369</v>
      </c>
      <c r="M73" s="167">
        <v>60.453119268877195</v>
      </c>
      <c r="N73" s="183">
        <v>11.406847562225906</v>
      </c>
      <c r="O73" s="183">
        <v>2.1310461622877104</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76">
        <v>368</v>
      </c>
      <c r="M74" s="167">
        <v>334</v>
      </c>
      <c r="N74" s="183">
        <v>66.858058601787121</v>
      </c>
      <c r="O74" s="183">
        <v>32.863353450309965</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76">
        <v>106.52173260497807</v>
      </c>
      <c r="M75" s="167">
        <v>90.503095223866893</v>
      </c>
      <c r="N75" s="183">
        <v>5.6494120895189415</v>
      </c>
      <c r="O75" s="183">
        <v>4.2701580184500436</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76">
        <v>76.702512541093682</v>
      </c>
      <c r="M76" s="167">
        <v>75.294344785105835</v>
      </c>
      <c r="N76" s="183">
        <v>3.6728239727329917</v>
      </c>
      <c r="O76" s="183">
        <v>4.1224674583383507</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76">
        <v>78.901515500136966</v>
      </c>
      <c r="M77" s="167">
        <v>66.511431594937974</v>
      </c>
      <c r="N77" s="183">
        <v>2.1289602724226842</v>
      </c>
      <c r="O77" s="183">
        <v>5.7657619640228059</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76">
        <v>80.765531201587891</v>
      </c>
      <c r="M78" s="167">
        <v>76.108000644478395</v>
      </c>
      <c r="N78" s="183">
        <v>6.0153127346348843</v>
      </c>
      <c r="O78" s="183">
        <v>2.871554778260502</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7">
        <v>736</v>
      </c>
      <c r="M79" s="177">
        <v>588</v>
      </c>
      <c r="N79" s="176">
        <v>100.14988766843426</v>
      </c>
      <c r="O79" s="176">
        <v>159.90622251807463</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7">
        <v>804</v>
      </c>
      <c r="M80" s="177">
        <v>796</v>
      </c>
      <c r="N80" s="176">
        <v>33.61547262794322</v>
      </c>
      <c r="O80" s="176">
        <v>148.42506526863986</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7">
        <v>800</v>
      </c>
      <c r="M81" s="177">
        <v>838</v>
      </c>
      <c r="N81" s="176">
        <v>136.38181696985856</v>
      </c>
      <c r="O81" s="176">
        <v>67.970581871865718</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7">
        <v>772</v>
      </c>
      <c r="M82" s="177">
        <v>908</v>
      </c>
      <c r="N82" s="176">
        <v>76.615925237511817</v>
      </c>
      <c r="O82" s="176">
        <v>139.17614738165446</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7">
        <v>826</v>
      </c>
      <c r="M83" s="177">
        <v>874</v>
      </c>
      <c r="N83" s="176">
        <v>65.421708935184498</v>
      </c>
      <c r="O83" s="176">
        <v>125.81732790041282</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7">
        <v>278</v>
      </c>
      <c r="M84" s="177">
        <v>280</v>
      </c>
      <c r="N84" s="176">
        <v>37.682887362833547</v>
      </c>
      <c r="O84" s="176">
        <v>20</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7">
        <v>308</v>
      </c>
      <c r="M85" s="177">
        <v>298</v>
      </c>
      <c r="N85" s="176">
        <v>137.9130160644745</v>
      </c>
      <c r="O85" s="176">
        <v>75.630681604756148</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7">
        <v>286</v>
      </c>
      <c r="M86" s="177">
        <v>230</v>
      </c>
      <c r="N86" s="176">
        <v>48.270073544588683</v>
      </c>
      <c r="O86" s="176">
        <v>30</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7">
        <v>276</v>
      </c>
      <c r="M87" s="177">
        <v>240</v>
      </c>
      <c r="N87" s="176">
        <v>59.413803110051795</v>
      </c>
      <c r="O87" s="176">
        <v>40.620192023179804</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7">
        <v>316</v>
      </c>
      <c r="M88" s="177">
        <v>326</v>
      </c>
      <c r="N88" s="176">
        <v>50.299105359837164</v>
      </c>
      <c r="O88" s="176">
        <v>31.304951684997057</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6">
        <v>184.05656003014869</v>
      </c>
      <c r="M89" s="176">
        <v>147.19097477122517</v>
      </c>
      <c r="N89" s="181">
        <v>19.054946647741787</v>
      </c>
      <c r="O89" s="181">
        <v>9.6812792686977911</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6">
        <v>166.79425461534871</v>
      </c>
      <c r="M90" s="176">
        <v>141.58982381835872</v>
      </c>
      <c r="N90" s="181">
        <v>19.449589385362795</v>
      </c>
      <c r="O90" s="181">
        <v>10.680030314840209</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6">
        <v>186.28396690366009</v>
      </c>
      <c r="M91" s="176">
        <v>153.39218297208717</v>
      </c>
      <c r="N91" s="181">
        <v>23.550675475030289</v>
      </c>
      <c r="O91" s="181">
        <v>9.5894140543822068</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6">
        <v>176.48141342065293</v>
      </c>
      <c r="M92" s="176">
        <v>147.23611838145126</v>
      </c>
      <c r="N92" s="181">
        <v>14.799719883115989</v>
      </c>
      <c r="O92" s="181">
        <v>2.4056890333398164</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6">
        <v>178.535246062049</v>
      </c>
      <c r="M93" s="176">
        <v>149.3557376719013</v>
      </c>
      <c r="N93" s="181">
        <v>15.871227020985486</v>
      </c>
      <c r="O93" s="181">
        <v>15.947850270462778</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6">
        <v>172.65561793278067</v>
      </c>
      <c r="M94" s="176">
        <v>151.07306249795775</v>
      </c>
      <c r="N94" s="181">
        <v>20.229566487240728</v>
      </c>
      <c r="O94" s="181">
        <v>9.317937104688486</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workbookViewId="0">
      <selection activeCell="B23" sqref="B23"/>
    </sheetView>
  </sheetViews>
  <sheetFormatPr baseColWidth="10" defaultRowHeight="21"/>
  <cols>
    <col min="1" max="1" width="32" bestFit="1" customWidth="1"/>
    <col min="2" max="2" width="11.1640625" style="215" customWidth="1"/>
    <col min="3" max="12" width="10" customWidth="1"/>
    <col min="13" max="13" width="9.6640625" style="211" customWidth="1"/>
  </cols>
  <sheetData>
    <row r="1" spans="1:14" ht="26" customHeight="1">
      <c r="A1" s="193"/>
      <c r="B1" s="194" t="s">
        <v>366</v>
      </c>
      <c r="C1" s="194" t="s">
        <v>319</v>
      </c>
      <c r="D1" s="194" t="s">
        <v>320</v>
      </c>
      <c r="E1" s="194" t="s">
        <v>321</v>
      </c>
      <c r="F1" s="194" t="s">
        <v>322</v>
      </c>
      <c r="G1" s="194" t="s">
        <v>323</v>
      </c>
      <c r="H1" s="194" t="s">
        <v>324</v>
      </c>
      <c r="I1" s="194" t="s">
        <v>325</v>
      </c>
      <c r="J1" s="194" t="s">
        <v>326</v>
      </c>
      <c r="K1" s="195" t="s">
        <v>327</v>
      </c>
      <c r="L1" s="195" t="s">
        <v>328</v>
      </c>
      <c r="M1" s="194" t="s">
        <v>329</v>
      </c>
    </row>
    <row r="2" spans="1:14" ht="16" customHeight="1">
      <c r="A2" s="196" t="s">
        <v>330</v>
      </c>
      <c r="B2" s="212">
        <v>2</v>
      </c>
      <c r="C2" s="197" t="s">
        <v>331</v>
      </c>
      <c r="D2" s="197" t="s">
        <v>331</v>
      </c>
      <c r="E2" s="197"/>
      <c r="F2" s="197"/>
      <c r="G2" s="197"/>
      <c r="H2" s="197"/>
      <c r="I2" s="197"/>
      <c r="J2" s="197"/>
      <c r="K2" s="197"/>
      <c r="L2" s="197"/>
      <c r="M2" s="198"/>
      <c r="N2" s="199"/>
    </row>
    <row r="3" spans="1:14" ht="16" customHeight="1">
      <c r="A3" s="196" t="s">
        <v>332</v>
      </c>
      <c r="B3" s="212">
        <v>5</v>
      </c>
      <c r="C3" s="197" t="s">
        <v>331</v>
      </c>
      <c r="D3" s="197" t="s">
        <v>331</v>
      </c>
      <c r="E3" s="197"/>
      <c r="F3" s="197"/>
      <c r="G3" s="197"/>
      <c r="H3" s="197"/>
      <c r="I3" s="197"/>
      <c r="J3" s="197"/>
      <c r="K3" s="197" t="s">
        <v>331</v>
      </c>
      <c r="L3" s="197"/>
      <c r="M3" s="198"/>
      <c r="N3" s="199"/>
    </row>
    <row r="4" spans="1:14" ht="16" customHeight="1">
      <c r="A4" s="196" t="s">
        <v>333</v>
      </c>
      <c r="B4" s="212">
        <v>1</v>
      </c>
      <c r="C4" s="197" t="s">
        <v>331</v>
      </c>
      <c r="D4" s="197" t="s">
        <v>331</v>
      </c>
      <c r="E4" s="197"/>
      <c r="F4" s="197"/>
      <c r="G4" s="197"/>
      <c r="H4" s="197"/>
      <c r="I4" s="197"/>
      <c r="J4" s="197"/>
      <c r="K4" s="197" t="s">
        <v>331</v>
      </c>
      <c r="L4" s="197"/>
      <c r="M4" s="198"/>
      <c r="N4" s="199"/>
    </row>
    <row r="5" spans="1:14" ht="16" customHeight="1">
      <c r="A5" s="196" t="s">
        <v>334</v>
      </c>
      <c r="B5" s="212">
        <v>4</v>
      </c>
      <c r="C5" s="197" t="s">
        <v>331</v>
      </c>
      <c r="D5" s="197" t="s">
        <v>331</v>
      </c>
      <c r="E5" s="197" t="s">
        <v>331</v>
      </c>
      <c r="F5" s="197" t="s">
        <v>331</v>
      </c>
      <c r="G5" s="197"/>
      <c r="H5" s="197"/>
      <c r="I5" s="197"/>
      <c r="J5" s="197"/>
      <c r="K5" s="197" t="s">
        <v>331</v>
      </c>
      <c r="L5" s="197"/>
      <c r="M5" s="198"/>
      <c r="N5" s="199"/>
    </row>
    <row r="6" spans="1:14" ht="16" customHeight="1">
      <c r="A6" s="196" t="s">
        <v>335</v>
      </c>
      <c r="B6" s="212">
        <v>6</v>
      </c>
      <c r="C6" s="197" t="s">
        <v>331</v>
      </c>
      <c r="D6" s="197" t="s">
        <v>331</v>
      </c>
      <c r="E6" s="197"/>
      <c r="F6" s="197"/>
      <c r="G6" s="197"/>
      <c r="H6" s="197"/>
      <c r="I6" s="197"/>
      <c r="J6" s="197"/>
      <c r="K6" s="197" t="s">
        <v>331</v>
      </c>
      <c r="L6" s="197"/>
      <c r="M6" s="198"/>
      <c r="N6" s="199"/>
    </row>
    <row r="7" spans="1:14" ht="16" customHeight="1">
      <c r="A7" s="196" t="s">
        <v>336</v>
      </c>
      <c r="B7" s="212">
        <v>4</v>
      </c>
      <c r="C7" s="197" t="s">
        <v>331</v>
      </c>
      <c r="D7" s="197" t="s">
        <v>331</v>
      </c>
      <c r="E7" s="197" t="s">
        <v>331</v>
      </c>
      <c r="F7" s="197"/>
      <c r="G7" s="197" t="s">
        <v>331</v>
      </c>
      <c r="H7" s="197"/>
      <c r="I7" s="197" t="s">
        <v>331</v>
      </c>
      <c r="J7" s="197"/>
      <c r="K7" s="197" t="s">
        <v>331</v>
      </c>
      <c r="L7" s="197" t="s">
        <v>331</v>
      </c>
      <c r="M7" s="198" t="s">
        <v>331</v>
      </c>
      <c r="N7" s="199"/>
    </row>
    <row r="8" spans="1:14" ht="16" customHeight="1">
      <c r="A8" s="196" t="s">
        <v>337</v>
      </c>
      <c r="B8" s="212">
        <v>1</v>
      </c>
      <c r="C8" s="197" t="s">
        <v>331</v>
      </c>
      <c r="D8" s="197" t="s">
        <v>331</v>
      </c>
      <c r="E8" s="197" t="s">
        <v>331</v>
      </c>
      <c r="F8" s="197" t="s">
        <v>331</v>
      </c>
      <c r="G8" s="197" t="s">
        <v>331</v>
      </c>
      <c r="H8" s="197" t="s">
        <v>331</v>
      </c>
      <c r="I8" s="197" t="s">
        <v>331</v>
      </c>
      <c r="J8" s="197" t="s">
        <v>331</v>
      </c>
      <c r="K8" s="197" t="s">
        <v>331</v>
      </c>
      <c r="L8" s="197" t="s">
        <v>331</v>
      </c>
      <c r="M8" s="201"/>
      <c r="N8" s="199"/>
    </row>
    <row r="9" spans="1:14" ht="16" customHeight="1">
      <c r="A9" s="196" t="s">
        <v>338</v>
      </c>
      <c r="B9" s="212">
        <v>2</v>
      </c>
      <c r="C9" s="197" t="s">
        <v>331</v>
      </c>
      <c r="D9" s="197" t="s">
        <v>331</v>
      </c>
      <c r="E9" s="197" t="s">
        <v>331</v>
      </c>
      <c r="F9" s="197" t="s">
        <v>331</v>
      </c>
      <c r="G9" s="197" t="s">
        <v>331</v>
      </c>
      <c r="H9" s="197"/>
      <c r="I9" s="197" t="s">
        <v>331</v>
      </c>
      <c r="J9" s="197"/>
      <c r="K9" s="197" t="s">
        <v>331</v>
      </c>
      <c r="L9" s="197" t="s">
        <v>331</v>
      </c>
      <c r="M9" s="198" t="s">
        <v>331</v>
      </c>
      <c r="N9" s="199"/>
    </row>
    <row r="10" spans="1:14" ht="16" customHeight="1">
      <c r="A10" s="196" t="s">
        <v>339</v>
      </c>
      <c r="B10" s="212">
        <v>19</v>
      </c>
      <c r="C10" s="197" t="s">
        <v>331</v>
      </c>
      <c r="D10" s="197" t="s">
        <v>331</v>
      </c>
      <c r="E10" s="197"/>
      <c r="F10" s="197"/>
      <c r="G10" s="197"/>
      <c r="H10" s="197"/>
      <c r="I10" s="197"/>
      <c r="J10" s="197"/>
      <c r="K10" s="197" t="s">
        <v>331</v>
      </c>
      <c r="L10" s="197"/>
      <c r="M10" s="198"/>
      <c r="N10" s="199"/>
    </row>
    <row r="11" spans="1:14" ht="16" customHeight="1">
      <c r="A11" s="196" t="s">
        <v>340</v>
      </c>
      <c r="B11" s="212">
        <v>3</v>
      </c>
      <c r="C11" s="202" t="s">
        <v>331</v>
      </c>
      <c r="D11" s="202" t="s">
        <v>331</v>
      </c>
      <c r="E11" s="202"/>
      <c r="F11" s="202"/>
      <c r="G11" s="202"/>
      <c r="H11" s="202"/>
      <c r="I11" s="202"/>
      <c r="J11" s="202"/>
      <c r="K11" s="202"/>
      <c r="L11" s="202"/>
      <c r="M11" s="201"/>
      <c r="N11" s="199"/>
    </row>
    <row r="12" spans="1:14" ht="16" customHeight="1">
      <c r="A12" s="196" t="s">
        <v>341</v>
      </c>
      <c r="B12" s="212">
        <v>1</v>
      </c>
      <c r="C12" s="202" t="s">
        <v>331</v>
      </c>
      <c r="D12" s="202" t="s">
        <v>331</v>
      </c>
      <c r="E12" s="202" t="s">
        <v>331</v>
      </c>
      <c r="F12" s="203"/>
      <c r="G12" s="203"/>
      <c r="H12" s="203"/>
      <c r="I12" s="203"/>
      <c r="J12" s="203"/>
      <c r="K12" s="203"/>
      <c r="L12" s="203"/>
      <c r="M12" s="201"/>
      <c r="N12" s="199"/>
    </row>
    <row r="13" spans="1:14" ht="16" customHeight="1">
      <c r="A13" s="196" t="s">
        <v>342</v>
      </c>
      <c r="B13" s="212">
        <v>6</v>
      </c>
      <c r="C13" s="197" t="s">
        <v>331</v>
      </c>
      <c r="D13" s="197" t="s">
        <v>331</v>
      </c>
      <c r="E13" s="197" t="s">
        <v>331</v>
      </c>
      <c r="F13" s="197" t="s">
        <v>331</v>
      </c>
      <c r="G13" s="197" t="s">
        <v>331</v>
      </c>
      <c r="H13" s="197" t="s">
        <v>331</v>
      </c>
      <c r="I13" s="197" t="s">
        <v>331</v>
      </c>
      <c r="J13" s="197" t="s">
        <v>331</v>
      </c>
      <c r="K13" s="197" t="s">
        <v>331</v>
      </c>
      <c r="L13" s="197" t="s">
        <v>331</v>
      </c>
      <c r="M13" s="201"/>
      <c r="N13" s="199"/>
    </row>
    <row r="14" spans="1:14" ht="16" customHeight="1">
      <c r="A14" s="196" t="s">
        <v>343</v>
      </c>
      <c r="B14" s="212">
        <v>2</v>
      </c>
      <c r="C14" s="197" t="s">
        <v>331</v>
      </c>
      <c r="D14" s="197" t="s">
        <v>331</v>
      </c>
      <c r="E14" s="197" t="s">
        <v>331</v>
      </c>
      <c r="F14" s="197" t="s">
        <v>331</v>
      </c>
      <c r="G14" s="197" t="s">
        <v>331</v>
      </c>
      <c r="H14" s="197"/>
      <c r="I14" s="197"/>
      <c r="J14" s="197"/>
      <c r="K14" s="197" t="s">
        <v>331</v>
      </c>
      <c r="L14" s="197"/>
      <c r="M14" s="198"/>
      <c r="N14" s="199"/>
    </row>
    <row r="15" spans="1:14" ht="16" customHeight="1">
      <c r="A15" s="196" t="s">
        <v>344</v>
      </c>
      <c r="B15" s="212">
        <v>4</v>
      </c>
      <c r="C15" s="197" t="s">
        <v>331</v>
      </c>
      <c r="D15" s="197" t="s">
        <v>331</v>
      </c>
      <c r="E15" s="197" t="s">
        <v>331</v>
      </c>
      <c r="F15" s="197" t="s">
        <v>331</v>
      </c>
      <c r="G15" s="197" t="s">
        <v>331</v>
      </c>
      <c r="H15" s="197" t="s">
        <v>331</v>
      </c>
      <c r="I15" s="197" t="s">
        <v>331</v>
      </c>
      <c r="J15" s="197" t="s">
        <v>331</v>
      </c>
      <c r="K15" s="197" t="s">
        <v>331</v>
      </c>
      <c r="L15" s="197" t="s">
        <v>331</v>
      </c>
      <c r="M15" s="198" t="s">
        <v>331</v>
      </c>
      <c r="N15" s="199"/>
    </row>
    <row r="16" spans="1:14" ht="16" customHeight="1">
      <c r="A16" s="196" t="s">
        <v>345</v>
      </c>
      <c r="B16" s="212">
        <v>1</v>
      </c>
      <c r="C16" s="197" t="s">
        <v>331</v>
      </c>
      <c r="D16" s="197" t="s">
        <v>331</v>
      </c>
      <c r="E16" s="197" t="s">
        <v>331</v>
      </c>
      <c r="F16" s="197"/>
      <c r="G16" s="197"/>
      <c r="H16" s="197"/>
      <c r="I16" s="197"/>
      <c r="J16" s="197"/>
      <c r="K16" s="197"/>
      <c r="L16" s="197"/>
      <c r="M16" s="201"/>
      <c r="N16" s="199"/>
    </row>
    <row r="17" spans="1:14" ht="16" customHeight="1">
      <c r="A17" s="200" t="s">
        <v>346</v>
      </c>
      <c r="B17" s="180">
        <v>2</v>
      </c>
      <c r="C17" s="197" t="s">
        <v>331</v>
      </c>
      <c r="D17" s="197" t="s">
        <v>331</v>
      </c>
      <c r="E17" s="197" t="s">
        <v>331</v>
      </c>
      <c r="F17" s="197"/>
      <c r="G17" s="197" t="s">
        <v>331</v>
      </c>
      <c r="H17" s="197"/>
      <c r="I17" s="197" t="s">
        <v>331</v>
      </c>
      <c r="J17" s="197"/>
      <c r="K17" s="197" t="s">
        <v>331</v>
      </c>
      <c r="L17" s="197" t="s">
        <v>331</v>
      </c>
      <c r="M17" s="198" t="s">
        <v>331</v>
      </c>
      <c r="N17" s="199"/>
    </row>
    <row r="18" spans="1:14" ht="16" customHeight="1">
      <c r="A18" s="200" t="s">
        <v>367</v>
      </c>
      <c r="B18" s="180">
        <v>1</v>
      </c>
      <c r="C18" s="197" t="s">
        <v>331</v>
      </c>
      <c r="D18" s="197" t="s">
        <v>331</v>
      </c>
      <c r="E18" s="197" t="s">
        <v>331</v>
      </c>
      <c r="F18" s="197" t="s">
        <v>331</v>
      </c>
      <c r="G18" s="197"/>
      <c r="H18" s="197"/>
      <c r="I18" s="197"/>
      <c r="J18" s="197"/>
      <c r="K18" s="197"/>
      <c r="L18" s="197"/>
      <c r="M18" s="198"/>
      <c r="N18" s="199"/>
    </row>
    <row r="19" spans="1:14" ht="16" customHeight="1">
      <c r="A19" s="196" t="s">
        <v>347</v>
      </c>
      <c r="B19" s="212">
        <v>10</v>
      </c>
      <c r="C19" s="197" t="s">
        <v>331</v>
      </c>
      <c r="D19" s="197" t="s">
        <v>331</v>
      </c>
      <c r="E19" s="197" t="s">
        <v>331</v>
      </c>
      <c r="F19" s="197" t="s">
        <v>331</v>
      </c>
      <c r="G19" s="197" t="s">
        <v>331</v>
      </c>
      <c r="H19" s="197" t="s">
        <v>331</v>
      </c>
      <c r="I19" s="197" t="s">
        <v>331</v>
      </c>
      <c r="J19" s="197" t="s">
        <v>331</v>
      </c>
      <c r="K19" s="197" t="s">
        <v>331</v>
      </c>
      <c r="L19" s="197" t="s">
        <v>331</v>
      </c>
      <c r="M19" s="198" t="s">
        <v>331</v>
      </c>
      <c r="N19" s="199"/>
    </row>
    <row r="20" spans="1:14" ht="16" customHeight="1">
      <c r="A20" s="196" t="s">
        <v>348</v>
      </c>
      <c r="B20" s="212">
        <v>1</v>
      </c>
      <c r="C20" s="202" t="s">
        <v>331</v>
      </c>
      <c r="D20" s="202" t="s">
        <v>331</v>
      </c>
      <c r="E20" s="202"/>
      <c r="F20" s="202"/>
      <c r="G20" s="202"/>
      <c r="H20" s="202"/>
      <c r="I20" s="202"/>
      <c r="J20" s="202"/>
      <c r="K20" s="202"/>
      <c r="L20" s="202"/>
      <c r="M20" s="201"/>
      <c r="N20" s="199"/>
    </row>
    <row r="21" spans="1:14" ht="16" customHeight="1">
      <c r="A21" s="196" t="s">
        <v>349</v>
      </c>
      <c r="B21" s="212">
        <v>10</v>
      </c>
      <c r="C21" s="197" t="s">
        <v>331</v>
      </c>
      <c r="D21" s="197" t="s">
        <v>331</v>
      </c>
      <c r="E21" s="197" t="s">
        <v>331</v>
      </c>
      <c r="F21" s="197" t="s">
        <v>331</v>
      </c>
      <c r="G21" s="197" t="s">
        <v>331</v>
      </c>
      <c r="H21" s="197" t="s">
        <v>331</v>
      </c>
      <c r="I21" s="197" t="s">
        <v>331</v>
      </c>
      <c r="J21" s="197" t="s">
        <v>331</v>
      </c>
      <c r="K21" s="197" t="s">
        <v>331</v>
      </c>
      <c r="L21" s="197" t="s">
        <v>331</v>
      </c>
      <c r="M21" s="198" t="s">
        <v>331</v>
      </c>
      <c r="N21" s="199"/>
    </row>
    <row r="22" spans="1:14" ht="16" customHeight="1">
      <c r="A22" s="204" t="s">
        <v>368</v>
      </c>
      <c r="B22" s="213">
        <v>6</v>
      </c>
      <c r="C22" s="205" t="s">
        <v>331</v>
      </c>
      <c r="D22" s="205" t="s">
        <v>331</v>
      </c>
      <c r="E22" s="205" t="s">
        <v>331</v>
      </c>
      <c r="F22" s="205" t="s">
        <v>331</v>
      </c>
      <c r="G22" s="205" t="s">
        <v>331</v>
      </c>
      <c r="H22" s="205" t="s">
        <v>331</v>
      </c>
      <c r="I22" s="205" t="s">
        <v>331</v>
      </c>
      <c r="J22" s="205" t="s">
        <v>331</v>
      </c>
      <c r="K22" s="205" t="s">
        <v>331</v>
      </c>
      <c r="L22" s="205" t="s">
        <v>331</v>
      </c>
      <c r="M22" s="206" t="s">
        <v>331</v>
      </c>
      <c r="N22" s="199"/>
    </row>
    <row r="23" spans="1:14">
      <c r="B23" s="215">
        <f>SUM(B2:B22)</f>
        <v>91</v>
      </c>
    </row>
    <row r="24" spans="1:14" ht="16" customHeight="1">
      <c r="A24" s="207" t="s">
        <v>350</v>
      </c>
      <c r="B24" s="214"/>
      <c r="C24" s="208"/>
      <c r="D24" s="208"/>
      <c r="E24" s="208"/>
      <c r="F24" s="208"/>
      <c r="G24" s="208"/>
      <c r="H24" s="208"/>
      <c r="I24" s="208"/>
      <c r="J24" s="208"/>
      <c r="K24" s="208"/>
      <c r="L24" s="208"/>
      <c r="M24" s="209"/>
      <c r="N24" s="199" t="s">
        <v>351</v>
      </c>
    </row>
    <row r="25" spans="1:14" ht="16" customHeight="1">
      <c r="A25" s="207" t="s">
        <v>352</v>
      </c>
      <c r="B25" s="214"/>
      <c r="C25" s="210" t="s">
        <v>331</v>
      </c>
      <c r="D25" s="210" t="s">
        <v>331</v>
      </c>
      <c r="E25" s="208"/>
      <c r="F25" s="208"/>
      <c r="G25" s="208"/>
      <c r="H25" s="208"/>
      <c r="I25" s="208"/>
      <c r="J25" s="208"/>
      <c r="K25" s="208"/>
      <c r="L25" s="208"/>
      <c r="M25" s="209"/>
      <c r="N25" s="199" t="s">
        <v>353</v>
      </c>
    </row>
    <row r="26" spans="1:14" ht="16" customHeight="1">
      <c r="A26" s="207" t="s">
        <v>354</v>
      </c>
      <c r="B26" s="214"/>
      <c r="C26" s="208"/>
      <c r="D26" s="208"/>
      <c r="E26" s="208"/>
      <c r="F26" s="208"/>
      <c r="G26" s="208"/>
      <c r="H26" s="208"/>
      <c r="I26" s="208"/>
      <c r="J26" s="208"/>
      <c r="K26" s="208"/>
      <c r="L26" s="208"/>
      <c r="M26" s="209"/>
      <c r="N26" s="199" t="s">
        <v>355</v>
      </c>
    </row>
    <row r="27" spans="1:14" ht="16" customHeight="1">
      <c r="A27" s="207" t="s">
        <v>356</v>
      </c>
      <c r="B27" s="214"/>
      <c r="C27" s="210" t="s">
        <v>331</v>
      </c>
      <c r="D27" s="210" t="s">
        <v>331</v>
      </c>
      <c r="E27" s="210" t="s">
        <v>331</v>
      </c>
      <c r="F27" s="210" t="s">
        <v>331</v>
      </c>
      <c r="G27" s="210" t="s">
        <v>331</v>
      </c>
      <c r="H27" s="208"/>
      <c r="I27" s="210" t="s">
        <v>331</v>
      </c>
      <c r="J27" s="208"/>
      <c r="K27" s="208"/>
      <c r="L27" s="208"/>
      <c r="M27" s="209"/>
      <c r="N27" s="199" t="s">
        <v>357</v>
      </c>
    </row>
    <row r="28" spans="1:14" ht="16" customHeight="1">
      <c r="A28" s="207" t="s">
        <v>358</v>
      </c>
      <c r="B28" s="214"/>
      <c r="C28" s="210" t="s">
        <v>331</v>
      </c>
      <c r="D28" s="210" t="s">
        <v>331</v>
      </c>
      <c r="E28" s="208"/>
      <c r="F28" s="208"/>
      <c r="G28" s="208"/>
      <c r="H28" s="208"/>
      <c r="I28" s="208"/>
      <c r="J28" s="208"/>
      <c r="K28" s="208"/>
      <c r="L28" s="208"/>
      <c r="M28" s="209"/>
      <c r="N28" s="199" t="s">
        <v>353</v>
      </c>
    </row>
    <row r="29" spans="1:14" ht="16" customHeight="1">
      <c r="A29" s="207" t="s">
        <v>359</v>
      </c>
      <c r="B29" s="214"/>
      <c r="C29" s="210" t="s">
        <v>331</v>
      </c>
      <c r="D29" s="210" t="s">
        <v>331</v>
      </c>
      <c r="E29" s="208"/>
      <c r="F29" s="208"/>
      <c r="G29" s="208"/>
      <c r="H29" s="208"/>
      <c r="I29" s="208"/>
      <c r="J29" s="208"/>
      <c r="K29" s="208"/>
      <c r="L29" s="208"/>
      <c r="M29" s="209"/>
      <c r="N29" s="199" t="s">
        <v>360</v>
      </c>
    </row>
    <row r="30" spans="1:14" ht="16" customHeight="1">
      <c r="A30" s="207" t="s">
        <v>361</v>
      </c>
      <c r="B30" s="214"/>
      <c r="C30" s="208"/>
      <c r="D30" s="208"/>
      <c r="E30" s="208"/>
      <c r="F30" s="208"/>
      <c r="G30" s="208"/>
      <c r="H30" s="208"/>
      <c r="I30" s="208"/>
      <c r="J30" s="208"/>
      <c r="K30" s="208"/>
      <c r="L30" s="208"/>
      <c r="M30" s="209"/>
      <c r="N30" s="199" t="s">
        <v>362</v>
      </c>
    </row>
    <row r="31" spans="1:14" ht="16" customHeight="1">
      <c r="A31" s="207" t="s">
        <v>363</v>
      </c>
      <c r="B31" s="214"/>
      <c r="C31" s="210" t="s">
        <v>331</v>
      </c>
      <c r="D31" s="210"/>
      <c r="E31" s="210"/>
      <c r="F31" s="210" t="s">
        <v>331</v>
      </c>
      <c r="G31" s="210"/>
      <c r="H31" s="210" t="s">
        <v>331</v>
      </c>
      <c r="I31" s="210"/>
      <c r="J31" s="210"/>
      <c r="K31" s="210"/>
      <c r="L31" s="210"/>
      <c r="M31" s="209"/>
      <c r="N31" s="199" t="s">
        <v>364</v>
      </c>
    </row>
    <row r="32" spans="1:14" ht="16" customHeight="1">
      <c r="A32" s="207" t="s">
        <v>365</v>
      </c>
      <c r="B32" s="214"/>
      <c r="C32" s="208"/>
      <c r="D32" s="208"/>
      <c r="E32" s="208"/>
      <c r="F32" s="208"/>
      <c r="G32" s="208"/>
      <c r="H32" s="208"/>
      <c r="I32" s="208"/>
      <c r="J32" s="208"/>
      <c r="K32" s="208"/>
      <c r="L32" s="208"/>
      <c r="M32" s="209"/>
      <c r="N32" s="199" t="s">
        <v>362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00"/>
  <sheetViews>
    <sheetView workbookViewId="0">
      <selection sqref="A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1.6640625" style="152" bestFit="1" customWidth="1"/>
    <col min="13" max="13" width="10.6640625" style="152" bestFit="1" customWidth="1"/>
    <col min="14" max="14" width="13.5" style="152" bestFit="1" customWidth="1"/>
    <col min="15" max="16" width="12.33203125" style="152"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270</v>
      </c>
      <c r="M1" s="150" t="s">
        <v>271</v>
      </c>
      <c r="N1" s="150" t="s">
        <v>272</v>
      </c>
      <c r="O1" s="150" t="s">
        <v>273</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c r="P4"/>
    </row>
    <row r="5" spans="1:16">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c r="P5"/>
    </row>
    <row r="6" spans="1:16">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c r="P6"/>
    </row>
    <row r="7" spans="1:16">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c r="P7"/>
    </row>
    <row r="8" spans="1:16">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c r="P8"/>
    </row>
    <row r="9" spans="1:16">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c r="P9"/>
    </row>
    <row r="10" spans="1:16">
      <c r="A10" s="150" t="s">
        <v>130</v>
      </c>
      <c r="B10" s="150">
        <v>6</v>
      </c>
      <c r="C10" s="150">
        <v>6</v>
      </c>
      <c r="D10" s="150" t="s">
        <v>231</v>
      </c>
      <c r="E10" s="150" t="s">
        <v>231</v>
      </c>
      <c r="F10" s="150">
        <v>63</v>
      </c>
      <c r="G10" s="150" t="s">
        <v>234</v>
      </c>
      <c r="H10" s="150" t="s">
        <v>136</v>
      </c>
      <c r="I10" s="150" t="s">
        <v>239</v>
      </c>
      <c r="J10" s="150" t="s">
        <v>239</v>
      </c>
      <c r="K10" s="150" t="s">
        <v>283</v>
      </c>
      <c r="L10" s="176">
        <v>271.18549305555558</v>
      </c>
      <c r="M10" s="176">
        <v>212.19866603223662</v>
      </c>
      <c r="N10" s="176">
        <v>120.13478206876071</v>
      </c>
      <c r="O10" s="176">
        <v>143.05207614161426</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76">
        <v>98.372945527852536</v>
      </c>
      <c r="M11" s="176">
        <v>173.77178831625483</v>
      </c>
      <c r="N11" s="176">
        <v>33.190434467302914</v>
      </c>
      <c r="O11" s="176">
        <v>77.068498132327022</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76">
        <v>199.62834099956089</v>
      </c>
      <c r="M12" s="176">
        <v>202.39653988421696</v>
      </c>
      <c r="N12" s="176">
        <v>33.865167587158531</v>
      </c>
      <c r="O12" s="176">
        <v>35.976725291918797</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77">
        <v>430</v>
      </c>
      <c r="M13" s="177">
        <v>395</v>
      </c>
      <c r="N13" s="176">
        <v>127.59310326189265</v>
      </c>
      <c r="O13" s="176">
        <v>107.8424777163433</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50" t="s">
        <v>132</v>
      </c>
      <c r="M21" s="150" t="s">
        <v>132</v>
      </c>
      <c r="N21" s="150" t="s">
        <v>132</v>
      </c>
      <c r="O21" s="150" t="s">
        <v>132</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50" t="s">
        <v>132</v>
      </c>
      <c r="M22" s="150" t="s">
        <v>132</v>
      </c>
      <c r="N22" s="150" t="s">
        <v>132</v>
      </c>
      <c r="O22" s="150" t="s">
        <v>132</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50" t="s">
        <v>132</v>
      </c>
      <c r="M23" s="150" t="s">
        <v>132</v>
      </c>
      <c r="N23" s="150" t="s">
        <v>132</v>
      </c>
      <c r="O23" s="150" t="s">
        <v>132</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50" t="s">
        <v>132</v>
      </c>
      <c r="M24" s="150" t="s">
        <v>132</v>
      </c>
      <c r="N24" s="150" t="s">
        <v>132</v>
      </c>
      <c r="O24" s="150" t="s">
        <v>132</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50" t="s">
        <v>132</v>
      </c>
      <c r="M26" s="150" t="s">
        <v>132</v>
      </c>
      <c r="N26" s="150" t="s">
        <v>132</v>
      </c>
      <c r="O26" s="150" t="s">
        <v>132</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50" t="s">
        <v>132</v>
      </c>
      <c r="M27" s="150" t="s">
        <v>132</v>
      </c>
      <c r="N27" s="150" t="s">
        <v>132</v>
      </c>
      <c r="O27" s="150" t="s">
        <v>132</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50" t="s">
        <v>132</v>
      </c>
      <c r="M28" s="150" t="s">
        <v>132</v>
      </c>
      <c r="N28" s="150" t="s">
        <v>132</v>
      </c>
      <c r="O28" s="150" t="s">
        <v>132</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50" t="s">
        <v>132</v>
      </c>
      <c r="M29" s="150" t="s">
        <v>132</v>
      </c>
      <c r="N29" s="150" t="s">
        <v>132</v>
      </c>
      <c r="O29" s="150" t="s">
        <v>132</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67">
        <v>77.453899986701913</v>
      </c>
      <c r="M69" s="167">
        <v>154.29326634549898</v>
      </c>
      <c r="N69" s="176">
        <v>12.60329591629011</v>
      </c>
      <c r="O69" s="176">
        <v>81.968799652969722</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67">
        <v>103.60522675861698</v>
      </c>
      <c r="M70" s="167">
        <v>115.5693354503145</v>
      </c>
      <c r="N70" s="176">
        <v>22.940429909407118</v>
      </c>
      <c r="O70" s="176">
        <v>30.755766536550048</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67">
        <v>72.72734107094243</v>
      </c>
      <c r="M71" s="167">
        <v>96.470042080825507</v>
      </c>
      <c r="N71" s="176">
        <v>8.8304444509532303</v>
      </c>
      <c r="O71" s="176">
        <v>15.501604544803856</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67">
        <v>92.881947392583214</v>
      </c>
      <c r="M72" s="167">
        <v>95.198879902712889</v>
      </c>
      <c r="N72" s="176">
        <v>29.312830429261901</v>
      </c>
      <c r="O72" s="176">
        <v>11.132100048217939</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67">
        <v>75.106399245184619</v>
      </c>
      <c r="M73" s="167">
        <v>78.336993375428364</v>
      </c>
      <c r="N73" s="176">
        <v>20.259419792891634</v>
      </c>
      <c r="O73" s="176">
        <v>8.8926892156996722</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67">
        <v>120.35228136361066</v>
      </c>
      <c r="M74" s="167">
        <v>175.96515251532429</v>
      </c>
      <c r="N74" s="176">
        <v>45.427802212331088</v>
      </c>
      <c r="O74" s="176">
        <v>76.223407179720425</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67">
        <v>145.50658639272555</v>
      </c>
      <c r="M75" s="167">
        <v>108.13754726938551</v>
      </c>
      <c r="N75" s="176">
        <v>18.41653354830169</v>
      </c>
      <c r="O75" s="176">
        <v>23.508114842770219</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67">
        <v>152.24001924019186</v>
      </c>
      <c r="M76" s="167">
        <v>80.362305743091284</v>
      </c>
      <c r="N76" s="176">
        <v>39.397073045927044</v>
      </c>
      <c r="O76" s="176">
        <v>11.823359856734253</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67">
        <v>136.44505779631189</v>
      </c>
      <c r="M77" s="167">
        <v>70.490757897146437</v>
      </c>
      <c r="N77" s="176">
        <v>14.123956881458424</v>
      </c>
      <c r="O77" s="176">
        <v>6.5266427958753397</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67">
        <v>148.14979713387169</v>
      </c>
      <c r="M78" s="167">
        <v>72.167792707066809</v>
      </c>
      <c r="N78" s="176">
        <v>34.948002603586339</v>
      </c>
      <c r="O78" s="176">
        <v>13.292224937803567</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6">
        <v>161.45435212607862</v>
      </c>
      <c r="M79" s="176">
        <v>204.58360225540929</v>
      </c>
      <c r="N79" s="176">
        <v>36.65665596098561</v>
      </c>
      <c r="O79" s="176">
        <v>28.707096719525055</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6">
        <v>131.63615692407316</v>
      </c>
      <c r="M80" s="176">
        <v>193.46440208083851</v>
      </c>
      <c r="N80" s="176">
        <v>7.0926944348153205</v>
      </c>
      <c r="O80" s="176">
        <v>22.232821514969135</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6">
        <v>137.43657312740385</v>
      </c>
      <c r="M81" s="176">
        <v>215.44814383561643</v>
      </c>
      <c r="N81" s="176">
        <v>5.8629951841475663</v>
      </c>
      <c r="O81" s="176">
        <v>29.684840928079048</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6">
        <v>154.32922489334061</v>
      </c>
      <c r="M82" s="176">
        <v>206.86828100000002</v>
      </c>
      <c r="N82" s="176">
        <v>21.487140926406052</v>
      </c>
      <c r="O82" s="176">
        <v>37.953961512269004</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6">
        <v>178.12182613442823</v>
      </c>
      <c r="M83" s="176">
        <v>201.87309760869567</v>
      </c>
      <c r="N83" s="176">
        <v>17.476489414740286</v>
      </c>
      <c r="O83" s="176">
        <v>35.881073199861973</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6">
        <v>154.12053959729474</v>
      </c>
      <c r="M84" s="176">
        <v>835.42752148806142</v>
      </c>
      <c r="N84" s="176">
        <v>17.95803771108022</v>
      </c>
      <c r="O84" s="176">
        <v>1335.3677304010282</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6">
        <v>122.57710882027781</v>
      </c>
      <c r="M85" s="176">
        <v>114.77782848256257</v>
      </c>
      <c r="N85" s="176">
        <v>24.124066692540232</v>
      </c>
      <c r="O85" s="176">
        <v>19.946791460319353</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6">
        <v>119.31030900417859</v>
      </c>
      <c r="M86" s="176">
        <v>109.15666348380894</v>
      </c>
      <c r="N86" s="176">
        <v>22.665793719520135</v>
      </c>
      <c r="O86" s="176">
        <v>5.9602156802063071</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6">
        <v>122.26622873139706</v>
      </c>
      <c r="M87" s="176">
        <v>105.26190037176454</v>
      </c>
      <c r="N87" s="176">
        <v>20.60371720630831</v>
      </c>
      <c r="O87" s="176">
        <v>14.57162361147307</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6">
        <v>129.62666560872313</v>
      </c>
      <c r="M88" s="176">
        <v>113.89700842743325</v>
      </c>
      <c r="N88" s="176">
        <v>13.481127954929269</v>
      </c>
      <c r="O88" s="176">
        <v>17.775022908706738</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6">
        <v>156.8132718330705</v>
      </c>
      <c r="M89" s="176">
        <v>199.28029761114985</v>
      </c>
      <c r="N89" s="181">
        <v>11.132905397496499</v>
      </c>
      <c r="O89" s="181">
        <v>15.563989637560356</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6">
        <v>143.98895086061347</v>
      </c>
      <c r="M90" s="176">
        <v>155.23567112718294</v>
      </c>
      <c r="N90" s="181">
        <v>13.509234544322045</v>
      </c>
      <c r="O90" s="181">
        <v>16.06853878996078</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6">
        <v>154.17443464773891</v>
      </c>
      <c r="M91" s="176">
        <v>173.71288366394671</v>
      </c>
      <c r="N91" s="181">
        <v>11.366277935435814</v>
      </c>
      <c r="O91" s="181">
        <v>13.247659886194924</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6">
        <v>156.69555501371906</v>
      </c>
      <c r="M92" s="176">
        <v>250.37071039414224</v>
      </c>
      <c r="N92" s="181">
        <v>7.6015941028705436</v>
      </c>
      <c r="O92" s="181">
        <v>178.72725367720918</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6">
        <v>151.57148710210558</v>
      </c>
      <c r="M93" s="176">
        <v>175.00216249071713</v>
      </c>
      <c r="N93" s="181">
        <v>4.5279820504851358</v>
      </c>
      <c r="O93" s="181">
        <v>29.209261246400985</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6">
        <v>165.41420412883119</v>
      </c>
      <c r="M94" s="176">
        <v>171.24578722280535</v>
      </c>
      <c r="N94" s="181">
        <v>19.900058439635792</v>
      </c>
      <c r="O94" s="181">
        <v>16.111760797668367</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sheetData>
  <pageMargins left="0.75" right="0.75" top="1" bottom="1" header="0.5" footer="0.5"/>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00"/>
  <sheetViews>
    <sheetView workbookViewId="0">
      <selection activeCell="E7" sqref="E7"/>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2.6640625" style="152" bestFit="1" customWidth="1"/>
    <col min="13" max="13" width="11.6640625" style="152" bestFit="1" customWidth="1"/>
    <col min="14" max="14" width="14.5" style="152" bestFit="1" customWidth="1"/>
    <col min="15" max="16" width="13.5" style="152"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274</v>
      </c>
      <c r="M1" s="150" t="s">
        <v>275</v>
      </c>
      <c r="N1" s="150" t="s">
        <v>276</v>
      </c>
      <c r="O1" s="150" t="s">
        <v>277</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c r="P4"/>
    </row>
    <row r="5" spans="1:16">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c r="P5"/>
    </row>
    <row r="6" spans="1:16">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c r="P6"/>
    </row>
    <row r="7" spans="1:16">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c r="P7"/>
    </row>
    <row r="8" spans="1:16">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c r="P8"/>
    </row>
    <row r="9" spans="1:16">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c r="P9"/>
    </row>
    <row r="10" spans="1:16">
      <c r="A10" s="150" t="s">
        <v>130</v>
      </c>
      <c r="B10" s="150">
        <v>6</v>
      </c>
      <c r="C10" s="150">
        <v>6</v>
      </c>
      <c r="D10" s="150" t="s">
        <v>231</v>
      </c>
      <c r="E10" s="150" t="s">
        <v>231</v>
      </c>
      <c r="F10" s="150">
        <v>63</v>
      </c>
      <c r="G10" s="150" t="s">
        <v>234</v>
      </c>
      <c r="H10" s="150" t="s">
        <v>136</v>
      </c>
      <c r="I10" s="150" t="s">
        <v>239</v>
      </c>
      <c r="J10" s="150" t="s">
        <v>239</v>
      </c>
      <c r="K10" s="150" t="s">
        <v>283</v>
      </c>
      <c r="L10" s="176">
        <v>23350</v>
      </c>
      <c r="M10" s="176">
        <v>14566.666666666666</v>
      </c>
      <c r="N10" s="176">
        <v>5042.9158232118052</v>
      </c>
      <c r="O10" s="176">
        <v>6264.396752015843</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76">
        <v>5000</v>
      </c>
      <c r="M11" s="176">
        <v>4716.666666666667</v>
      </c>
      <c r="N11" s="176">
        <v>918.69472622846808</v>
      </c>
      <c r="O11" s="176">
        <v>563.61925682739559</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76">
        <v>5816.666666666667</v>
      </c>
      <c r="M12" s="176">
        <v>5666.666666666667</v>
      </c>
      <c r="N12" s="176">
        <v>601.38728508895883</v>
      </c>
      <c r="O12" s="176">
        <v>939.50341493081794</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76">
        <v>3416.6666666666665</v>
      </c>
      <c r="M13" s="176">
        <v>3000</v>
      </c>
      <c r="N13" s="176">
        <v>519.29439306299628</v>
      </c>
      <c r="O13" s="176">
        <v>352.1363372331802</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76">
        <v>13638.71454434835</v>
      </c>
      <c r="M21" s="176">
        <v>11901.766728451659</v>
      </c>
      <c r="N21" s="176">
        <v>841.39609390460066</v>
      </c>
      <c r="O21" s="176">
        <v>421.49789464004482</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76">
        <v>14065.53296605216</v>
      </c>
      <c r="M22" s="176">
        <v>11894.731126780553</v>
      </c>
      <c r="N22" s="176">
        <v>65.027115953641129</v>
      </c>
      <c r="O22" s="176">
        <v>750.35824020877476</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76">
        <v>13700.899675089517</v>
      </c>
      <c r="M23" s="176">
        <v>11610.094272872959</v>
      </c>
      <c r="N23" s="176">
        <v>703.46602348883346</v>
      </c>
      <c r="O23" s="176">
        <v>328.94790336827668</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76">
        <v>13697.395677246079</v>
      </c>
      <c r="M24" s="176">
        <v>10973.987288381239</v>
      </c>
      <c r="N24" s="176">
        <v>488.25668537021534</v>
      </c>
      <c r="O24" s="176">
        <v>1711.6696794195236</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79">
        <v>5080.714015999999</v>
      </c>
      <c r="M26" s="179">
        <v>5729.7497309999999</v>
      </c>
      <c r="N26" s="161">
        <v>508.07140159999989</v>
      </c>
      <c r="O26" s="161">
        <v>572.97497309999994</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79">
        <v>5727.0624791666669</v>
      </c>
      <c r="M27" s="179">
        <v>5602.2916976666666</v>
      </c>
      <c r="N27" s="161">
        <v>572.70624791666671</v>
      </c>
      <c r="O27" s="161">
        <v>560.2291697666667</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76">
        <v>12389.456827610993</v>
      </c>
      <c r="M28" s="176">
        <v>11192.05152390884</v>
      </c>
      <c r="N28" s="176">
        <v>612.56538841714234</v>
      </c>
      <c r="O28" s="176">
        <v>803.09799967849119</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76">
        <v>12325.556360156752</v>
      </c>
      <c r="M29" s="176">
        <v>11306.883668883323</v>
      </c>
      <c r="N29" s="176">
        <v>55.347348397591219</v>
      </c>
      <c r="O29" s="176">
        <v>365.90487347755317</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77">
        <v>38000</v>
      </c>
      <c r="M69" s="177">
        <v>23200</v>
      </c>
      <c r="N69" s="176">
        <v>3162.2776601683795</v>
      </c>
      <c r="O69" s="176">
        <v>447.21359549995793</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77">
        <v>6300</v>
      </c>
      <c r="M70" s="177">
        <v>6240</v>
      </c>
      <c r="N70" s="176">
        <v>200</v>
      </c>
      <c r="O70" s="176">
        <v>439.31765272977594</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77">
        <v>6120</v>
      </c>
      <c r="M71" s="177">
        <v>6480</v>
      </c>
      <c r="N71" s="176">
        <v>506.95167422546302</v>
      </c>
      <c r="O71" s="176">
        <v>356.37059362410923</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77">
        <v>6220</v>
      </c>
      <c r="M72" s="177">
        <v>6680</v>
      </c>
      <c r="N72" s="176">
        <v>481.6637831516918</v>
      </c>
      <c r="O72" s="176">
        <v>554.07580708780279</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77">
        <v>5980</v>
      </c>
      <c r="M73" s="177">
        <v>6440</v>
      </c>
      <c r="N73" s="176">
        <v>228.03508501982759</v>
      </c>
      <c r="O73" s="176">
        <v>364.69165057620938</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77">
        <v>33000</v>
      </c>
      <c r="M74" s="177">
        <v>29000</v>
      </c>
      <c r="N74" s="176">
        <v>4847.6798574163295</v>
      </c>
      <c r="O74" s="176">
        <v>707.10678118654755</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77">
        <v>6220</v>
      </c>
      <c r="M75" s="177">
        <v>7120</v>
      </c>
      <c r="N75" s="176">
        <v>192.35384061671346</v>
      </c>
      <c r="O75" s="176">
        <v>589.06705900092561</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77">
        <v>6080</v>
      </c>
      <c r="M76" s="177">
        <v>6620</v>
      </c>
      <c r="N76" s="176">
        <v>363.31804249169898</v>
      </c>
      <c r="O76" s="176">
        <v>408.65633483405099</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77">
        <v>6000</v>
      </c>
      <c r="M77" s="177">
        <v>6660</v>
      </c>
      <c r="N77" s="176">
        <v>324.03703492039301</v>
      </c>
      <c r="O77" s="176">
        <v>541.29474410897433</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77">
        <v>6460</v>
      </c>
      <c r="M78" s="177">
        <v>6920</v>
      </c>
      <c r="N78" s="176">
        <v>357.77087639996637</v>
      </c>
      <c r="O78" s="176">
        <v>370.13511046643492</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7">
        <v>25400</v>
      </c>
      <c r="M79" s="177">
        <v>19280</v>
      </c>
      <c r="N79" s="176">
        <v>2073.6441353327723</v>
      </c>
      <c r="O79" s="176">
        <v>4904.2838417041075</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7">
        <v>25800</v>
      </c>
      <c r="M80" s="177">
        <v>23400</v>
      </c>
      <c r="N80" s="176">
        <v>1483.2396974191327</v>
      </c>
      <c r="O80" s="176">
        <v>1516.57508881031</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7">
        <v>26600</v>
      </c>
      <c r="M81" s="177">
        <v>25200</v>
      </c>
      <c r="N81" s="176">
        <v>2966.4793948382653</v>
      </c>
      <c r="O81" s="176">
        <v>1923.5384061671346</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7">
        <v>26400</v>
      </c>
      <c r="M82" s="177">
        <v>26600</v>
      </c>
      <c r="N82" s="176">
        <v>1816.590212458495</v>
      </c>
      <c r="O82" s="176">
        <v>1140.175425099138</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7">
        <v>26200</v>
      </c>
      <c r="M83" s="177">
        <v>24600</v>
      </c>
      <c r="N83" s="176">
        <v>836.66002653407554</v>
      </c>
      <c r="O83" s="176">
        <v>1140.175425099138</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7">
        <v>8520</v>
      </c>
      <c r="M84" s="177">
        <v>7740</v>
      </c>
      <c r="N84" s="176">
        <v>1334.9157276772194</v>
      </c>
      <c r="O84" s="176">
        <v>820.36577207974733</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7">
        <v>9720</v>
      </c>
      <c r="M85" s="177">
        <v>8260</v>
      </c>
      <c r="N85" s="176">
        <v>4390.5580510910004</v>
      </c>
      <c r="O85" s="176">
        <v>2059.854363784003</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7">
        <v>9220</v>
      </c>
      <c r="M86" s="177">
        <v>7140</v>
      </c>
      <c r="N86" s="176">
        <v>1672.4233913695418</v>
      </c>
      <c r="O86" s="176">
        <v>536.6563145999495</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7">
        <v>8100</v>
      </c>
      <c r="M87" s="177">
        <v>7840</v>
      </c>
      <c r="N87" s="176">
        <v>674.53687816160209</v>
      </c>
      <c r="O87" s="176">
        <v>884.87287222515749</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7">
        <v>10600</v>
      </c>
      <c r="M88" s="177">
        <v>11260</v>
      </c>
      <c r="N88" s="176">
        <v>897.21792224631804</v>
      </c>
      <c r="O88" s="176">
        <v>1395.7077057894321</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7">
        <v>6380</v>
      </c>
      <c r="M89" s="177">
        <v>5860</v>
      </c>
      <c r="N89" s="181">
        <v>535.72380943915493</v>
      </c>
      <c r="O89" s="181">
        <v>167.33200530681512</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7">
        <v>6400</v>
      </c>
      <c r="M90" s="177">
        <v>6180</v>
      </c>
      <c r="N90" s="181">
        <v>479.58315233127195</v>
      </c>
      <c r="O90" s="181">
        <v>130.38404810405297</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7">
        <v>6960</v>
      </c>
      <c r="M91" s="177">
        <v>6000</v>
      </c>
      <c r="N91" s="181">
        <v>730.06848993775918</v>
      </c>
      <c r="O91" s="181">
        <v>234.52078799117149</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7">
        <v>6640</v>
      </c>
      <c r="M92" s="177">
        <v>5840</v>
      </c>
      <c r="N92" s="181">
        <v>378.15340802378074</v>
      </c>
      <c r="O92" s="181">
        <v>114.0175425099138</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7">
        <v>6740</v>
      </c>
      <c r="M93" s="177">
        <v>6100</v>
      </c>
      <c r="N93" s="181">
        <v>594.13803110051788</v>
      </c>
      <c r="O93" s="181">
        <v>316.22776601683796</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7">
        <v>6180</v>
      </c>
      <c r="M94" s="177">
        <v>6220</v>
      </c>
      <c r="N94" s="181">
        <v>438.17804600413291</v>
      </c>
      <c r="O94" s="181">
        <v>83.66600265340756</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sheetData>
  <pageMargins left="0.75" right="0.75" top="1" bottom="1" header="0.5" footer="0.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00"/>
  <sheetViews>
    <sheetView workbookViewId="0">
      <selection activeCell="L17" sqref="L17"/>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1.5" style="152" bestFit="1" customWidth="1"/>
    <col min="13" max="13" width="10.5" style="152" bestFit="1" customWidth="1"/>
    <col min="14" max="14" width="13.33203125" style="152" bestFit="1" customWidth="1"/>
    <col min="15" max="16" width="12.33203125" style="152"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278</v>
      </c>
      <c r="M1" s="150" t="s">
        <v>279</v>
      </c>
      <c r="N1" s="150" t="s">
        <v>280</v>
      </c>
      <c r="O1" s="150" t="s">
        <v>281</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0" t="s">
        <v>132</v>
      </c>
      <c r="M4" s="150" t="s">
        <v>132</v>
      </c>
      <c r="N4" s="150" t="s">
        <v>132</v>
      </c>
      <c r="O4" s="150" t="s">
        <v>132</v>
      </c>
      <c r="P4"/>
    </row>
    <row r="5" spans="1:16">
      <c r="A5" s="150" t="s">
        <v>120</v>
      </c>
      <c r="B5" s="150">
        <v>5</v>
      </c>
      <c r="C5" s="150">
        <v>5</v>
      </c>
      <c r="D5" s="150" t="s">
        <v>231</v>
      </c>
      <c r="E5" s="150" t="s">
        <v>231</v>
      </c>
      <c r="F5" s="150">
        <v>63</v>
      </c>
      <c r="G5" s="150" t="s">
        <v>234</v>
      </c>
      <c r="H5" s="150" t="s">
        <v>136</v>
      </c>
      <c r="I5" s="150" t="s">
        <v>239</v>
      </c>
      <c r="J5" s="150" t="s">
        <v>239</v>
      </c>
      <c r="K5" s="150" t="s">
        <v>284</v>
      </c>
      <c r="L5" s="150" t="s">
        <v>132</v>
      </c>
      <c r="M5" s="150" t="s">
        <v>132</v>
      </c>
      <c r="N5" s="150" t="s">
        <v>132</v>
      </c>
      <c r="O5" s="150" t="s">
        <v>132</v>
      </c>
      <c r="P5"/>
    </row>
    <row r="6" spans="1:16">
      <c r="A6" s="150" t="s">
        <v>120</v>
      </c>
      <c r="B6" s="150">
        <v>5</v>
      </c>
      <c r="C6" s="150">
        <v>5</v>
      </c>
      <c r="D6" s="150" t="s">
        <v>231</v>
      </c>
      <c r="E6" s="150" t="s">
        <v>231</v>
      </c>
      <c r="F6" s="150">
        <v>63</v>
      </c>
      <c r="G6" s="150" t="s">
        <v>234</v>
      </c>
      <c r="H6" s="150" t="s">
        <v>136</v>
      </c>
      <c r="I6" s="150" t="s">
        <v>239</v>
      </c>
      <c r="J6" s="150" t="s">
        <v>239</v>
      </c>
      <c r="K6" s="150" t="s">
        <v>284</v>
      </c>
      <c r="L6" s="150" t="s">
        <v>132</v>
      </c>
      <c r="M6" s="150" t="s">
        <v>132</v>
      </c>
      <c r="N6" s="150" t="s">
        <v>132</v>
      </c>
      <c r="O6" s="150" t="s">
        <v>132</v>
      </c>
      <c r="P6"/>
    </row>
    <row r="7" spans="1:16">
      <c r="A7" s="150" t="s">
        <v>120</v>
      </c>
      <c r="B7" s="150">
        <v>5</v>
      </c>
      <c r="C7" s="150">
        <v>5</v>
      </c>
      <c r="D7" s="150" t="s">
        <v>231</v>
      </c>
      <c r="E7" s="150" t="s">
        <v>231</v>
      </c>
      <c r="F7" s="150">
        <v>63</v>
      </c>
      <c r="G7" s="150" t="s">
        <v>234</v>
      </c>
      <c r="H7" s="150" t="s">
        <v>136</v>
      </c>
      <c r="I7" s="150" t="s">
        <v>239</v>
      </c>
      <c r="J7" s="150" t="s">
        <v>239</v>
      </c>
      <c r="K7" s="150" t="s">
        <v>284</v>
      </c>
      <c r="L7" s="150" t="s">
        <v>132</v>
      </c>
      <c r="M7" s="150" t="s">
        <v>132</v>
      </c>
      <c r="N7" s="150" t="s">
        <v>132</v>
      </c>
      <c r="O7" s="150" t="s">
        <v>132</v>
      </c>
      <c r="P7"/>
    </row>
    <row r="8" spans="1:16">
      <c r="A8" s="150" t="s">
        <v>120</v>
      </c>
      <c r="B8" s="150">
        <v>5</v>
      </c>
      <c r="C8" s="150">
        <v>5</v>
      </c>
      <c r="D8" s="150" t="s">
        <v>231</v>
      </c>
      <c r="E8" s="150" t="s">
        <v>231</v>
      </c>
      <c r="F8" s="150">
        <v>63</v>
      </c>
      <c r="G8" s="150" t="s">
        <v>234</v>
      </c>
      <c r="H8" s="150" t="s">
        <v>136</v>
      </c>
      <c r="I8" s="150" t="s">
        <v>239</v>
      </c>
      <c r="J8" s="150" t="s">
        <v>239</v>
      </c>
      <c r="K8" s="150" t="s">
        <v>284</v>
      </c>
      <c r="L8" s="150" t="s">
        <v>132</v>
      </c>
      <c r="M8" s="150" t="s">
        <v>132</v>
      </c>
      <c r="N8" s="150" t="s">
        <v>132</v>
      </c>
      <c r="O8" s="150" t="s">
        <v>132</v>
      </c>
      <c r="P8"/>
    </row>
    <row r="9" spans="1:16">
      <c r="A9" s="150" t="s">
        <v>120</v>
      </c>
      <c r="B9" s="150">
        <v>5</v>
      </c>
      <c r="C9" s="150">
        <v>5</v>
      </c>
      <c r="D9" s="150" t="s">
        <v>231</v>
      </c>
      <c r="E9" s="150" t="s">
        <v>231</v>
      </c>
      <c r="F9" s="150">
        <v>63</v>
      </c>
      <c r="G9" s="150" t="s">
        <v>234</v>
      </c>
      <c r="H9" s="150" t="s">
        <v>136</v>
      </c>
      <c r="I9" s="150" t="s">
        <v>239</v>
      </c>
      <c r="J9" s="150" t="s">
        <v>239</v>
      </c>
      <c r="K9" s="150" t="s">
        <v>284</v>
      </c>
      <c r="L9" s="150" t="s">
        <v>132</v>
      </c>
      <c r="M9" s="150" t="s">
        <v>132</v>
      </c>
      <c r="N9" s="150" t="s">
        <v>132</v>
      </c>
      <c r="O9" s="150" t="s">
        <v>132</v>
      </c>
      <c r="P9"/>
    </row>
    <row r="10" spans="1:16">
      <c r="A10" s="150" t="s">
        <v>130</v>
      </c>
      <c r="B10" s="150">
        <v>6</v>
      </c>
      <c r="C10" s="150">
        <v>6</v>
      </c>
      <c r="D10" s="150" t="s">
        <v>231</v>
      </c>
      <c r="E10" s="150" t="s">
        <v>231</v>
      </c>
      <c r="F10" s="150">
        <v>63</v>
      </c>
      <c r="G10" s="150" t="s">
        <v>234</v>
      </c>
      <c r="H10" s="150" t="s">
        <v>136</v>
      </c>
      <c r="I10" s="150" t="s">
        <v>239</v>
      </c>
      <c r="J10" s="150" t="s">
        <v>239</v>
      </c>
      <c r="K10" s="150" t="s">
        <v>283</v>
      </c>
      <c r="L10" s="176">
        <v>7416.666666666667</v>
      </c>
      <c r="M10" s="176">
        <v>6150</v>
      </c>
      <c r="N10" s="176">
        <v>2523.0272821883364</v>
      </c>
      <c r="O10" s="176">
        <v>2478.507615481542</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76">
        <v>4466.666666666667</v>
      </c>
      <c r="M11" s="176">
        <v>3833.3333333333335</v>
      </c>
      <c r="N11" s="176">
        <v>796.6596931354477</v>
      </c>
      <c r="O11" s="176">
        <v>516.3977794943213</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76">
        <v>5433.333333333333</v>
      </c>
      <c r="M12" s="176">
        <v>6183.333333333333</v>
      </c>
      <c r="N12" s="176">
        <v>1081.9735055289796</v>
      </c>
      <c r="O12" s="176">
        <v>1271.875255937731</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76">
        <v>2675</v>
      </c>
      <c r="M13" s="176">
        <v>2733.3333333333335</v>
      </c>
      <c r="N13" s="176">
        <v>589.70331523572088</v>
      </c>
      <c r="O13" s="176">
        <v>377.71241264574184</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50" t="s">
        <v>132</v>
      </c>
      <c r="M21" s="150" t="s">
        <v>132</v>
      </c>
      <c r="N21" s="150" t="s">
        <v>132</v>
      </c>
      <c r="O21" s="150" t="s">
        <v>132</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50" t="s">
        <v>132</v>
      </c>
      <c r="M22" s="150" t="s">
        <v>132</v>
      </c>
      <c r="N22" s="150" t="s">
        <v>132</v>
      </c>
      <c r="O22" s="150" t="s">
        <v>132</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50" t="s">
        <v>132</v>
      </c>
      <c r="M23" s="150" t="s">
        <v>132</v>
      </c>
      <c r="N23" s="150" t="s">
        <v>132</v>
      </c>
      <c r="O23" s="150" t="s">
        <v>132</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50" t="s">
        <v>132</v>
      </c>
      <c r="M24" s="150" t="s">
        <v>132</v>
      </c>
      <c r="N24" s="150" t="s">
        <v>132</v>
      </c>
      <c r="O24" s="150" t="s">
        <v>132</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0" t="s">
        <v>132</v>
      </c>
      <c r="M25" s="150" t="s">
        <v>132</v>
      </c>
      <c r="N25" s="150" t="s">
        <v>132</v>
      </c>
      <c r="O25" s="150" t="s">
        <v>132</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50" t="s">
        <v>132</v>
      </c>
      <c r="M26" s="150" t="s">
        <v>132</v>
      </c>
      <c r="N26" s="150" t="s">
        <v>132</v>
      </c>
      <c r="O26" s="150" t="s">
        <v>132</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50" t="s">
        <v>132</v>
      </c>
      <c r="M27" s="150" t="s">
        <v>132</v>
      </c>
      <c r="N27" s="150" t="s">
        <v>132</v>
      </c>
      <c r="O27" s="150" t="s">
        <v>132</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50" t="s">
        <v>132</v>
      </c>
      <c r="M28" s="150" t="s">
        <v>132</v>
      </c>
      <c r="N28" s="150" t="s">
        <v>132</v>
      </c>
      <c r="O28" s="150" t="s">
        <v>132</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50" t="s">
        <v>132</v>
      </c>
      <c r="M29" s="150" t="s">
        <v>132</v>
      </c>
      <c r="N29" s="150" t="s">
        <v>132</v>
      </c>
      <c r="O29" s="150" t="s">
        <v>132</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77">
        <v>7420</v>
      </c>
      <c r="M69" s="177">
        <v>5640</v>
      </c>
      <c r="N69" s="176">
        <v>960.20831073262434</v>
      </c>
      <c r="O69" s="176">
        <v>409.87803063838396</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77">
        <v>6060</v>
      </c>
      <c r="M70" s="177">
        <v>5720</v>
      </c>
      <c r="N70" s="176">
        <v>439.31765272977594</v>
      </c>
      <c r="O70" s="176">
        <v>192.35384061671346</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77">
        <v>5760</v>
      </c>
      <c r="M71" s="177">
        <v>5940</v>
      </c>
      <c r="N71" s="176">
        <v>378.15340802378074</v>
      </c>
      <c r="O71" s="176">
        <v>403.732584763727</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77">
        <v>6020</v>
      </c>
      <c r="M72" s="177">
        <v>5640</v>
      </c>
      <c r="N72" s="176">
        <v>516.72042731055251</v>
      </c>
      <c r="O72" s="176">
        <v>654.21708935184506</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77">
        <v>7340</v>
      </c>
      <c r="M73" s="177">
        <v>6300</v>
      </c>
      <c r="N73" s="176">
        <v>320.93613071762422</v>
      </c>
      <c r="O73" s="176">
        <v>489.89794855663564</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77">
        <v>5600</v>
      </c>
      <c r="M74" s="177">
        <v>5220</v>
      </c>
      <c r="N74" s="176">
        <v>1172.6039399558574</v>
      </c>
      <c r="O74" s="176">
        <v>766.15925237511817</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77">
        <v>6960</v>
      </c>
      <c r="M75" s="177">
        <v>6560</v>
      </c>
      <c r="N75" s="176">
        <v>853.22916030806164</v>
      </c>
      <c r="O75" s="176">
        <v>415.93268686170842</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77">
        <v>6280</v>
      </c>
      <c r="M76" s="177">
        <v>6760</v>
      </c>
      <c r="N76" s="176">
        <v>712.03932475671593</v>
      </c>
      <c r="O76" s="176">
        <v>626.89712074629915</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77">
        <v>8000</v>
      </c>
      <c r="M77" s="177">
        <v>6700</v>
      </c>
      <c r="N77" s="176">
        <v>583.09518948453001</v>
      </c>
      <c r="O77" s="176">
        <v>273.86127875258308</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77">
        <v>9820</v>
      </c>
      <c r="M78" s="177">
        <v>7540</v>
      </c>
      <c r="N78" s="176">
        <v>597.49476985158628</v>
      </c>
      <c r="O78" s="176">
        <v>384.70768123342691</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7">
        <v>3520</v>
      </c>
      <c r="M79" s="177">
        <v>3020</v>
      </c>
      <c r="N79" s="176">
        <v>576.19441163551733</v>
      </c>
      <c r="O79" s="176">
        <v>349.28498393145964</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7">
        <v>3700</v>
      </c>
      <c r="M80" s="177">
        <v>3800</v>
      </c>
      <c r="N80" s="176">
        <v>200</v>
      </c>
      <c r="O80" s="176">
        <v>380.7886552931954</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7">
        <v>3800</v>
      </c>
      <c r="M81" s="177">
        <v>4680</v>
      </c>
      <c r="N81" s="176">
        <v>484.76798574163291</v>
      </c>
      <c r="O81" s="176">
        <v>1052.140675005011</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7">
        <v>3820</v>
      </c>
      <c r="M82" s="177">
        <v>4180</v>
      </c>
      <c r="N82" s="176">
        <v>216.79483388678798</v>
      </c>
      <c r="O82" s="176">
        <v>729.38330115241877</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7">
        <v>3740</v>
      </c>
      <c r="M83" s="177">
        <v>4080</v>
      </c>
      <c r="N83" s="176">
        <v>661.81568431097185</v>
      </c>
      <c r="O83" s="176">
        <v>887.13020464867498</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7">
        <v>3180</v>
      </c>
      <c r="M84" s="177">
        <v>3040</v>
      </c>
      <c r="N84" s="176">
        <v>178.88543819998318</v>
      </c>
      <c r="O84" s="176">
        <v>230.21728866442677</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7">
        <v>3700</v>
      </c>
      <c r="M85" s="177">
        <v>3260</v>
      </c>
      <c r="N85" s="176">
        <v>291.54759474226501</v>
      </c>
      <c r="O85" s="176">
        <v>487.85243670601869</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7">
        <v>4120</v>
      </c>
      <c r="M86" s="177">
        <v>3520</v>
      </c>
      <c r="N86" s="176">
        <v>420.71367935925258</v>
      </c>
      <c r="O86" s="176">
        <v>319.37438845342626</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7">
        <v>4260</v>
      </c>
      <c r="M87" s="177">
        <v>3920</v>
      </c>
      <c r="N87" s="176">
        <v>304.95901363953811</v>
      </c>
      <c r="O87" s="176">
        <v>294.95762407505254</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7">
        <v>4600</v>
      </c>
      <c r="M88" s="177">
        <v>4320</v>
      </c>
      <c r="N88" s="176">
        <v>681.90908484929275</v>
      </c>
      <c r="O88" s="176">
        <v>402.49223594996215</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7">
        <v>8280</v>
      </c>
      <c r="M89" s="177">
        <v>6160</v>
      </c>
      <c r="N89" s="181">
        <v>719.02712048990202</v>
      </c>
      <c r="O89" s="181">
        <v>391.1521443121589</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7">
        <v>8580</v>
      </c>
      <c r="M90" s="177">
        <v>6180</v>
      </c>
      <c r="N90" s="181">
        <v>420.71367935925258</v>
      </c>
      <c r="O90" s="181">
        <v>396.23225512317896</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7">
        <v>8320</v>
      </c>
      <c r="M91" s="177">
        <v>6400</v>
      </c>
      <c r="N91" s="181">
        <v>798.12279756939654</v>
      </c>
      <c r="O91" s="181">
        <v>264.57513110645908</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7">
        <v>8060</v>
      </c>
      <c r="M92" s="177">
        <v>6060</v>
      </c>
      <c r="N92" s="181">
        <v>572.71284253105409</v>
      </c>
      <c r="O92" s="181">
        <v>167.33200530681512</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7">
        <v>7860</v>
      </c>
      <c r="M93" s="177">
        <v>6060</v>
      </c>
      <c r="N93" s="181">
        <v>357.77087639996637</v>
      </c>
      <c r="O93" s="181">
        <v>240.8318915758459</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7">
        <v>8460</v>
      </c>
      <c r="M94" s="177">
        <v>6640</v>
      </c>
      <c r="N94" s="181">
        <v>585.66201857385283</v>
      </c>
      <c r="O94" s="181">
        <v>181.65902124584949</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sheetData>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100"/>
  <sheetViews>
    <sheetView workbookViewId="0">
      <selection activeCell="F10" sqref="F10"/>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5" width="10.83203125" style="152"/>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287</v>
      </c>
      <c r="M1" s="150" t="s">
        <v>288</v>
      </c>
      <c r="N1" s="150" t="s">
        <v>289</v>
      </c>
      <c r="O1" s="150" t="s">
        <v>290</v>
      </c>
    </row>
    <row r="2" spans="1:15">
      <c r="A2" s="150" t="s">
        <v>119</v>
      </c>
      <c r="B2" s="150">
        <v>3</v>
      </c>
      <c r="C2" s="150">
        <v>3</v>
      </c>
      <c r="D2" s="150" t="s">
        <v>233</v>
      </c>
      <c r="E2" s="150" t="s">
        <v>229</v>
      </c>
      <c r="F2" s="150">
        <v>42</v>
      </c>
      <c r="G2" s="150" t="s">
        <v>234</v>
      </c>
      <c r="H2" s="150" t="s">
        <v>136</v>
      </c>
      <c r="I2" s="150" t="s">
        <v>132</v>
      </c>
      <c r="J2" s="150" t="s">
        <v>132</v>
      </c>
      <c r="K2" s="150" t="s">
        <v>132</v>
      </c>
      <c r="L2" s="190" t="s">
        <v>132</v>
      </c>
      <c r="M2" s="190" t="s">
        <v>132</v>
      </c>
      <c r="N2" s="190" t="s">
        <v>132</v>
      </c>
      <c r="O2" s="190" t="s">
        <v>132</v>
      </c>
    </row>
    <row r="3" spans="1:15">
      <c r="A3" s="150" t="s">
        <v>119</v>
      </c>
      <c r="B3" s="150">
        <v>3</v>
      </c>
      <c r="C3" s="150">
        <v>3</v>
      </c>
      <c r="D3" s="150" t="s">
        <v>233</v>
      </c>
      <c r="E3" s="150" t="s">
        <v>229</v>
      </c>
      <c r="F3" s="150">
        <v>42</v>
      </c>
      <c r="G3" s="150" t="s">
        <v>234</v>
      </c>
      <c r="H3" s="150" t="s">
        <v>136</v>
      </c>
      <c r="I3" s="150" t="s">
        <v>132</v>
      </c>
      <c r="J3" s="150" t="s">
        <v>132</v>
      </c>
      <c r="K3" s="150" t="s">
        <v>132</v>
      </c>
      <c r="L3" s="190" t="s">
        <v>132</v>
      </c>
      <c r="M3" s="190" t="s">
        <v>132</v>
      </c>
      <c r="N3" s="190" t="s">
        <v>132</v>
      </c>
      <c r="O3" s="190" t="s">
        <v>132</v>
      </c>
    </row>
    <row r="4" spans="1:15">
      <c r="A4" s="150" t="s">
        <v>120</v>
      </c>
      <c r="B4" s="150">
        <v>5</v>
      </c>
      <c r="C4" s="150">
        <v>5</v>
      </c>
      <c r="D4" s="150" t="s">
        <v>231</v>
      </c>
      <c r="E4" s="150" t="s">
        <v>231</v>
      </c>
      <c r="F4" s="150">
        <v>63</v>
      </c>
      <c r="G4" s="150" t="s">
        <v>234</v>
      </c>
      <c r="H4" s="150" t="s">
        <v>136</v>
      </c>
      <c r="I4" s="150" t="s">
        <v>239</v>
      </c>
      <c r="J4" s="150" t="s">
        <v>239</v>
      </c>
      <c r="K4" s="150" t="s">
        <v>284</v>
      </c>
      <c r="L4" s="190" t="s">
        <v>132</v>
      </c>
      <c r="M4" s="190" t="s">
        <v>132</v>
      </c>
      <c r="N4" s="190" t="s">
        <v>132</v>
      </c>
      <c r="O4" s="190" t="s">
        <v>132</v>
      </c>
    </row>
    <row r="5" spans="1:15">
      <c r="A5" s="150" t="s">
        <v>120</v>
      </c>
      <c r="B5" s="150">
        <v>5</v>
      </c>
      <c r="C5" s="150">
        <v>5</v>
      </c>
      <c r="D5" s="150" t="s">
        <v>231</v>
      </c>
      <c r="E5" s="150" t="s">
        <v>231</v>
      </c>
      <c r="F5" s="150">
        <v>63</v>
      </c>
      <c r="G5" s="150" t="s">
        <v>234</v>
      </c>
      <c r="H5" s="150" t="s">
        <v>136</v>
      </c>
      <c r="I5" s="150" t="s">
        <v>239</v>
      </c>
      <c r="J5" s="150" t="s">
        <v>239</v>
      </c>
      <c r="K5" s="150" t="s">
        <v>284</v>
      </c>
      <c r="L5" s="190" t="s">
        <v>132</v>
      </c>
      <c r="M5" s="190" t="s">
        <v>132</v>
      </c>
      <c r="N5" s="190" t="s">
        <v>132</v>
      </c>
      <c r="O5" s="190" t="s">
        <v>132</v>
      </c>
    </row>
    <row r="6" spans="1:15">
      <c r="A6" s="150" t="s">
        <v>120</v>
      </c>
      <c r="B6" s="150">
        <v>5</v>
      </c>
      <c r="C6" s="150">
        <v>5</v>
      </c>
      <c r="D6" s="150" t="s">
        <v>231</v>
      </c>
      <c r="E6" s="150" t="s">
        <v>231</v>
      </c>
      <c r="F6" s="150">
        <v>63</v>
      </c>
      <c r="G6" s="150" t="s">
        <v>234</v>
      </c>
      <c r="H6" s="150" t="s">
        <v>136</v>
      </c>
      <c r="I6" s="150" t="s">
        <v>239</v>
      </c>
      <c r="J6" s="150" t="s">
        <v>239</v>
      </c>
      <c r="K6" s="150" t="s">
        <v>284</v>
      </c>
      <c r="L6" s="190" t="s">
        <v>132</v>
      </c>
      <c r="M6" s="190" t="s">
        <v>132</v>
      </c>
      <c r="N6" s="190" t="s">
        <v>132</v>
      </c>
      <c r="O6" s="190" t="s">
        <v>132</v>
      </c>
    </row>
    <row r="7" spans="1:15">
      <c r="A7" s="150" t="s">
        <v>120</v>
      </c>
      <c r="B7" s="150">
        <v>5</v>
      </c>
      <c r="C7" s="150">
        <v>5</v>
      </c>
      <c r="D7" s="150" t="s">
        <v>231</v>
      </c>
      <c r="E7" s="150" t="s">
        <v>231</v>
      </c>
      <c r="F7" s="150">
        <v>63</v>
      </c>
      <c r="G7" s="150" t="s">
        <v>234</v>
      </c>
      <c r="H7" s="150" t="s">
        <v>136</v>
      </c>
      <c r="I7" s="150" t="s">
        <v>239</v>
      </c>
      <c r="J7" s="150" t="s">
        <v>239</v>
      </c>
      <c r="K7" s="150" t="s">
        <v>284</v>
      </c>
      <c r="L7" s="190" t="s">
        <v>132</v>
      </c>
      <c r="M7" s="190" t="s">
        <v>132</v>
      </c>
      <c r="N7" s="190" t="s">
        <v>132</v>
      </c>
      <c r="O7" s="190" t="s">
        <v>132</v>
      </c>
    </row>
    <row r="8" spans="1:15">
      <c r="A8" s="150" t="s">
        <v>120</v>
      </c>
      <c r="B8" s="150">
        <v>5</v>
      </c>
      <c r="C8" s="150">
        <v>5</v>
      </c>
      <c r="D8" s="150" t="s">
        <v>231</v>
      </c>
      <c r="E8" s="150" t="s">
        <v>231</v>
      </c>
      <c r="F8" s="150">
        <v>63</v>
      </c>
      <c r="G8" s="150" t="s">
        <v>234</v>
      </c>
      <c r="H8" s="150" t="s">
        <v>136</v>
      </c>
      <c r="I8" s="150" t="s">
        <v>239</v>
      </c>
      <c r="J8" s="150" t="s">
        <v>239</v>
      </c>
      <c r="K8" s="150" t="s">
        <v>284</v>
      </c>
      <c r="L8" s="190" t="s">
        <v>132</v>
      </c>
      <c r="M8" s="190" t="s">
        <v>132</v>
      </c>
      <c r="N8" s="190" t="s">
        <v>132</v>
      </c>
      <c r="O8" s="190" t="s">
        <v>132</v>
      </c>
    </row>
    <row r="9" spans="1:15">
      <c r="A9" s="150" t="s">
        <v>120</v>
      </c>
      <c r="B9" s="150">
        <v>5</v>
      </c>
      <c r="C9" s="150">
        <v>5</v>
      </c>
      <c r="D9" s="150" t="s">
        <v>231</v>
      </c>
      <c r="E9" s="150" t="s">
        <v>231</v>
      </c>
      <c r="F9" s="150">
        <v>63</v>
      </c>
      <c r="G9" s="150" t="s">
        <v>234</v>
      </c>
      <c r="H9" s="150" t="s">
        <v>136</v>
      </c>
      <c r="I9" s="150" t="s">
        <v>239</v>
      </c>
      <c r="J9" s="150" t="s">
        <v>239</v>
      </c>
      <c r="K9" s="150" t="s">
        <v>284</v>
      </c>
      <c r="L9" s="190" t="s">
        <v>132</v>
      </c>
      <c r="M9" s="190" t="s">
        <v>132</v>
      </c>
      <c r="N9" s="190" t="s">
        <v>132</v>
      </c>
      <c r="O9" s="19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89">
        <v>1406.6666666666667</v>
      </c>
      <c r="M10" s="189">
        <v>1453.3333333333333</v>
      </c>
      <c r="N10" s="189">
        <v>376.0673698510239</v>
      </c>
      <c r="O10" s="189">
        <v>516.59139236602346</v>
      </c>
    </row>
    <row r="11" spans="1:15">
      <c r="A11" s="150" t="s">
        <v>130</v>
      </c>
      <c r="B11" s="150">
        <v>6</v>
      </c>
      <c r="C11" s="150">
        <v>6</v>
      </c>
      <c r="D11" s="150" t="s">
        <v>231</v>
      </c>
      <c r="E11" s="150" t="s">
        <v>231</v>
      </c>
      <c r="F11" s="150">
        <v>63</v>
      </c>
      <c r="G11" s="150" t="s">
        <v>234</v>
      </c>
      <c r="H11" s="150" t="s">
        <v>136</v>
      </c>
      <c r="I11" s="150" t="s">
        <v>239</v>
      </c>
      <c r="J11" s="150" t="s">
        <v>239</v>
      </c>
      <c r="K11" s="150" t="s">
        <v>283</v>
      </c>
      <c r="L11" s="189">
        <v>1423.3333333333333</v>
      </c>
      <c r="M11" s="189">
        <v>1445</v>
      </c>
      <c r="N11" s="189">
        <v>360.4811599330356</v>
      </c>
      <c r="O11" s="189">
        <v>533.6571933366962</v>
      </c>
    </row>
    <row r="12" spans="1:15">
      <c r="A12" s="150" t="s">
        <v>130</v>
      </c>
      <c r="B12" s="150">
        <v>6</v>
      </c>
      <c r="C12" s="150">
        <v>6</v>
      </c>
      <c r="D12" s="150" t="s">
        <v>231</v>
      </c>
      <c r="E12" s="150" t="s">
        <v>231</v>
      </c>
      <c r="F12" s="150">
        <v>63</v>
      </c>
      <c r="G12" s="150" t="s">
        <v>234</v>
      </c>
      <c r="H12" s="150" t="s">
        <v>136</v>
      </c>
      <c r="I12" s="150" t="s">
        <v>239</v>
      </c>
      <c r="J12" s="150" t="s">
        <v>239</v>
      </c>
      <c r="K12" s="150" t="s">
        <v>283</v>
      </c>
      <c r="L12" s="189">
        <v>1780</v>
      </c>
      <c r="M12" s="189">
        <v>2643.3333333333335</v>
      </c>
      <c r="N12" s="189">
        <v>731.7923202657978</v>
      </c>
      <c r="O12" s="189">
        <v>1178.9599936667348</v>
      </c>
    </row>
    <row r="13" spans="1:15">
      <c r="A13" s="150" t="s">
        <v>130</v>
      </c>
      <c r="B13" s="150">
        <v>6</v>
      </c>
      <c r="C13" s="150">
        <v>6</v>
      </c>
      <c r="D13" s="150" t="s">
        <v>231</v>
      </c>
      <c r="E13" s="150" t="s">
        <v>231</v>
      </c>
      <c r="F13" s="150">
        <v>63</v>
      </c>
      <c r="G13" s="150" t="s">
        <v>234</v>
      </c>
      <c r="H13" s="150" t="s">
        <v>136</v>
      </c>
      <c r="I13" s="150" t="s">
        <v>239</v>
      </c>
      <c r="J13" s="150" t="s">
        <v>240</v>
      </c>
      <c r="K13" s="150" t="s">
        <v>284</v>
      </c>
      <c r="L13" s="189">
        <v>600</v>
      </c>
      <c r="M13" s="189">
        <v>460</v>
      </c>
      <c r="N13" s="189">
        <v>215.87033144922904</v>
      </c>
      <c r="O13" s="189">
        <v>123.61229712289955</v>
      </c>
    </row>
    <row r="14" spans="1:15">
      <c r="A14" s="150" t="s">
        <v>131</v>
      </c>
      <c r="B14" s="150">
        <v>3</v>
      </c>
      <c r="C14" s="150">
        <v>3</v>
      </c>
      <c r="D14" s="150" t="s">
        <v>233</v>
      </c>
      <c r="E14" s="150" t="s">
        <v>228</v>
      </c>
      <c r="F14" s="150">
        <v>58</v>
      </c>
      <c r="G14" s="150" t="s">
        <v>234</v>
      </c>
      <c r="H14" s="150" t="s">
        <v>136</v>
      </c>
      <c r="I14" s="150" t="s">
        <v>132</v>
      </c>
      <c r="J14" s="150" t="s">
        <v>132</v>
      </c>
      <c r="K14" s="150" t="s">
        <v>284</v>
      </c>
      <c r="L14" s="190" t="s">
        <v>132</v>
      </c>
      <c r="M14" s="190" t="s">
        <v>132</v>
      </c>
      <c r="N14" s="190" t="s">
        <v>132</v>
      </c>
      <c r="O14" s="19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90" t="s">
        <v>132</v>
      </c>
      <c r="M15" s="190" t="s">
        <v>132</v>
      </c>
      <c r="N15" s="190" t="s">
        <v>132</v>
      </c>
      <c r="O15" s="19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90" t="s">
        <v>132</v>
      </c>
      <c r="M16" s="190" t="s">
        <v>132</v>
      </c>
      <c r="N16" s="190" t="s">
        <v>132</v>
      </c>
      <c r="O16" s="19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90" t="s">
        <v>132</v>
      </c>
      <c r="M17" s="190" t="s">
        <v>132</v>
      </c>
      <c r="N17" s="190" t="s">
        <v>132</v>
      </c>
      <c r="O17" s="19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90" t="s">
        <v>132</v>
      </c>
      <c r="M18" s="190" t="s">
        <v>132</v>
      </c>
      <c r="N18" s="190" t="s">
        <v>132</v>
      </c>
      <c r="O18" s="19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90" t="s">
        <v>132</v>
      </c>
      <c r="M19" s="190" t="s">
        <v>132</v>
      </c>
      <c r="N19" s="190" t="s">
        <v>132</v>
      </c>
      <c r="O19" s="19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90" t="s">
        <v>132</v>
      </c>
      <c r="M20" s="190" t="s">
        <v>132</v>
      </c>
      <c r="N20" s="190" t="s">
        <v>132</v>
      </c>
      <c r="O20" s="19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89">
        <v>711.48713845898624</v>
      </c>
      <c r="M21" s="189">
        <v>781.04261056475582</v>
      </c>
      <c r="N21" s="189">
        <v>49.706723352367376</v>
      </c>
      <c r="O21" s="189">
        <v>38.636817565474054</v>
      </c>
    </row>
    <row r="22" spans="1:15">
      <c r="A22" s="150" t="s">
        <v>133</v>
      </c>
      <c r="B22" s="150">
        <v>8</v>
      </c>
      <c r="C22" s="150">
        <v>8</v>
      </c>
      <c r="D22" s="150" t="s">
        <v>231</v>
      </c>
      <c r="E22" s="150" t="s">
        <v>231</v>
      </c>
      <c r="F22" s="150">
        <v>63</v>
      </c>
      <c r="G22" s="150" t="s">
        <v>234</v>
      </c>
      <c r="H22" s="150" t="s">
        <v>137</v>
      </c>
      <c r="I22" s="150" t="s">
        <v>239</v>
      </c>
      <c r="J22" s="151" t="s">
        <v>241</v>
      </c>
      <c r="K22" s="150" t="s">
        <v>284</v>
      </c>
      <c r="L22" s="189">
        <v>663.28250394910617</v>
      </c>
      <c r="M22" s="189">
        <v>837.3735400933848</v>
      </c>
      <c r="N22" s="189">
        <v>109.34869006256329</v>
      </c>
      <c r="O22" s="189">
        <v>98.78301922366353</v>
      </c>
    </row>
    <row r="23" spans="1:15">
      <c r="A23" s="150" t="s">
        <v>133</v>
      </c>
      <c r="B23" s="150">
        <v>8</v>
      </c>
      <c r="C23" s="150">
        <v>8</v>
      </c>
      <c r="D23" s="150" t="s">
        <v>231</v>
      </c>
      <c r="E23" s="150" t="s">
        <v>231</v>
      </c>
      <c r="F23" s="150">
        <v>63</v>
      </c>
      <c r="G23" s="150" t="s">
        <v>234</v>
      </c>
      <c r="H23" s="150" t="s">
        <v>137</v>
      </c>
      <c r="I23" s="150" t="s">
        <v>240</v>
      </c>
      <c r="J23" s="151" t="s">
        <v>241</v>
      </c>
      <c r="K23" s="150" t="s">
        <v>284</v>
      </c>
      <c r="L23" s="189">
        <v>668.17343589953521</v>
      </c>
      <c r="M23" s="189">
        <v>742.43959304963028</v>
      </c>
      <c r="N23" s="189">
        <v>73.287733029232527</v>
      </c>
      <c r="O23" s="189">
        <v>12.854081289028869</v>
      </c>
    </row>
    <row r="24" spans="1:15">
      <c r="A24" s="150" t="s">
        <v>133</v>
      </c>
      <c r="B24" s="150">
        <v>8</v>
      </c>
      <c r="C24" s="150">
        <v>8</v>
      </c>
      <c r="D24" s="150" t="s">
        <v>231</v>
      </c>
      <c r="E24" s="150" t="s">
        <v>231</v>
      </c>
      <c r="F24" s="150">
        <v>63</v>
      </c>
      <c r="G24" s="150" t="s">
        <v>234</v>
      </c>
      <c r="H24" s="150" t="s">
        <v>137</v>
      </c>
      <c r="I24" s="150" t="s">
        <v>239</v>
      </c>
      <c r="J24" s="151" t="s">
        <v>241</v>
      </c>
      <c r="K24" s="150" t="s">
        <v>284</v>
      </c>
      <c r="L24" s="189">
        <v>712.78330655596153</v>
      </c>
      <c r="M24" s="189">
        <v>742.20887061236203</v>
      </c>
      <c r="N24" s="189">
        <v>83.029394209470411</v>
      </c>
      <c r="O24" s="189">
        <v>40.519529780100669</v>
      </c>
    </row>
    <row r="25" spans="1:15">
      <c r="A25" s="150" t="s">
        <v>134</v>
      </c>
      <c r="B25" s="150">
        <v>4</v>
      </c>
      <c r="C25" s="150">
        <v>4</v>
      </c>
      <c r="D25" s="150" t="s">
        <v>231</v>
      </c>
      <c r="E25" s="150" t="s">
        <v>231</v>
      </c>
      <c r="F25" s="150">
        <v>72</v>
      </c>
      <c r="G25" s="150" t="s">
        <v>235</v>
      </c>
      <c r="H25" s="150" t="s">
        <v>136</v>
      </c>
      <c r="I25" s="150" t="s">
        <v>240</v>
      </c>
      <c r="J25" s="151" t="s">
        <v>241</v>
      </c>
      <c r="K25" s="150" t="s">
        <v>284</v>
      </c>
      <c r="L25" s="190" t="s">
        <v>132</v>
      </c>
      <c r="M25" s="190" t="s">
        <v>132</v>
      </c>
      <c r="N25" s="190" t="s">
        <v>132</v>
      </c>
      <c r="O25" s="19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91">
        <v>234.51711276666671</v>
      </c>
      <c r="M26" s="191">
        <v>220.3803297333333</v>
      </c>
      <c r="N26" s="190">
        <v>23.451711276666671</v>
      </c>
      <c r="O26" s="190">
        <v>22.03803297333333</v>
      </c>
    </row>
    <row r="27" spans="1:15">
      <c r="A27" s="150" t="s">
        <v>135</v>
      </c>
      <c r="B27" s="150">
        <v>6</v>
      </c>
      <c r="C27" s="150">
        <v>6</v>
      </c>
      <c r="D27" s="150" t="s">
        <v>231</v>
      </c>
      <c r="E27" s="150" t="s">
        <v>231</v>
      </c>
      <c r="F27" s="150">
        <v>79</v>
      </c>
      <c r="G27" s="150" t="s">
        <v>235</v>
      </c>
      <c r="H27" s="150" t="s">
        <v>136</v>
      </c>
      <c r="I27" s="150" t="s">
        <v>239</v>
      </c>
      <c r="J27" s="150" t="s">
        <v>240</v>
      </c>
      <c r="K27" s="150" t="s">
        <v>284</v>
      </c>
      <c r="L27" s="191">
        <v>282.20098446666663</v>
      </c>
      <c r="M27" s="191">
        <v>243.35436726666669</v>
      </c>
      <c r="N27" s="190">
        <v>28.220098446666661</v>
      </c>
      <c r="O27" s="190">
        <v>24.335436726666668</v>
      </c>
    </row>
    <row r="28" spans="1:15">
      <c r="A28" s="150" t="s">
        <v>138</v>
      </c>
      <c r="B28" s="150">
        <v>4</v>
      </c>
      <c r="C28" s="150">
        <v>4</v>
      </c>
      <c r="D28" s="150" t="s">
        <v>231</v>
      </c>
      <c r="E28" s="150" t="s">
        <v>231</v>
      </c>
      <c r="F28" s="150">
        <v>63</v>
      </c>
      <c r="G28" s="150" t="s">
        <v>235</v>
      </c>
      <c r="H28" s="150" t="s">
        <v>137</v>
      </c>
      <c r="I28" s="150" t="s">
        <v>132</v>
      </c>
      <c r="J28" s="150" t="s">
        <v>239</v>
      </c>
      <c r="K28" s="150" t="s">
        <v>285</v>
      </c>
      <c r="L28" s="189">
        <v>597.16844521857206</v>
      </c>
      <c r="M28" s="189">
        <v>990.33128149489357</v>
      </c>
      <c r="N28" s="189">
        <v>80.917965260250355</v>
      </c>
      <c r="O28" s="189">
        <v>211.36742752115381</v>
      </c>
    </row>
    <row r="29" spans="1:15">
      <c r="A29" s="150" t="s">
        <v>138</v>
      </c>
      <c r="B29" s="150">
        <v>4</v>
      </c>
      <c r="C29" s="150">
        <v>4</v>
      </c>
      <c r="D29" s="150" t="s">
        <v>231</v>
      </c>
      <c r="E29" s="150" t="s">
        <v>231</v>
      </c>
      <c r="F29" s="150">
        <v>63</v>
      </c>
      <c r="G29" s="150" t="s">
        <v>235</v>
      </c>
      <c r="H29" s="150" t="s">
        <v>137</v>
      </c>
      <c r="I29" s="150" t="s">
        <v>132</v>
      </c>
      <c r="J29" s="150" t="s">
        <v>239</v>
      </c>
      <c r="K29" s="150" t="s">
        <v>285</v>
      </c>
      <c r="L29" s="189">
        <v>511.86131202995102</v>
      </c>
      <c r="M29" s="189">
        <v>924.22729987436605</v>
      </c>
      <c r="N29" s="189">
        <v>85.977417908962451</v>
      </c>
      <c r="O29" s="189">
        <v>97.095843653645332</v>
      </c>
    </row>
    <row r="30" spans="1:15">
      <c r="A30" s="150" t="s">
        <v>139</v>
      </c>
      <c r="B30" s="150">
        <v>3</v>
      </c>
      <c r="C30" s="150">
        <v>3</v>
      </c>
      <c r="D30" s="150" t="s">
        <v>233</v>
      </c>
      <c r="E30" s="150" t="s">
        <v>228</v>
      </c>
      <c r="F30" s="150">
        <v>42</v>
      </c>
      <c r="G30" s="150" t="s">
        <v>234</v>
      </c>
      <c r="H30" s="150" t="s">
        <v>136</v>
      </c>
      <c r="I30" s="150" t="s">
        <v>132</v>
      </c>
      <c r="J30" s="150" t="s">
        <v>132</v>
      </c>
      <c r="K30" s="150" t="s">
        <v>283</v>
      </c>
      <c r="L30" s="190" t="s">
        <v>132</v>
      </c>
      <c r="M30" s="190" t="s">
        <v>132</v>
      </c>
      <c r="N30" s="190" t="s">
        <v>132</v>
      </c>
      <c r="O30" s="19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90" t="s">
        <v>132</v>
      </c>
      <c r="M31" s="190" t="s">
        <v>132</v>
      </c>
      <c r="N31" s="190" t="s">
        <v>132</v>
      </c>
      <c r="O31" s="19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90" t="s">
        <v>132</v>
      </c>
      <c r="M32" s="190" t="s">
        <v>132</v>
      </c>
      <c r="N32" s="190" t="s">
        <v>132</v>
      </c>
      <c r="O32" s="19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90" t="s">
        <v>132</v>
      </c>
      <c r="M33" s="190" t="s">
        <v>132</v>
      </c>
      <c r="N33" s="190" t="s">
        <v>132</v>
      </c>
      <c r="O33" s="19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90" t="s">
        <v>132</v>
      </c>
      <c r="M34" s="190" t="s">
        <v>132</v>
      </c>
      <c r="N34" s="190" t="s">
        <v>132</v>
      </c>
      <c r="O34" s="19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90" t="s">
        <v>132</v>
      </c>
      <c r="M35" s="190" t="s">
        <v>132</v>
      </c>
      <c r="N35" s="190" t="s">
        <v>132</v>
      </c>
      <c r="O35" s="19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90" t="s">
        <v>132</v>
      </c>
      <c r="M36" s="190" t="s">
        <v>132</v>
      </c>
      <c r="N36" s="190" t="s">
        <v>132</v>
      </c>
      <c r="O36" s="19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90" t="s">
        <v>132</v>
      </c>
      <c r="M37" s="190" t="s">
        <v>132</v>
      </c>
      <c r="N37" s="190" t="s">
        <v>132</v>
      </c>
      <c r="O37" s="19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90" t="s">
        <v>132</v>
      </c>
      <c r="M38" s="190" t="s">
        <v>132</v>
      </c>
      <c r="N38" s="190" t="s">
        <v>132</v>
      </c>
      <c r="O38" s="19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90" t="s">
        <v>132</v>
      </c>
      <c r="M39" s="190" t="s">
        <v>132</v>
      </c>
      <c r="N39" s="190" t="s">
        <v>132</v>
      </c>
      <c r="O39" s="19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90" t="s">
        <v>132</v>
      </c>
      <c r="M40" s="190" t="s">
        <v>132</v>
      </c>
      <c r="N40" s="190" t="s">
        <v>132</v>
      </c>
      <c r="O40" s="19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90" t="s">
        <v>132</v>
      </c>
      <c r="M41" s="190" t="s">
        <v>132</v>
      </c>
      <c r="N41" s="190" t="s">
        <v>132</v>
      </c>
      <c r="O41" s="19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90" t="s">
        <v>132</v>
      </c>
      <c r="M42" s="190" t="s">
        <v>132</v>
      </c>
      <c r="N42" s="190" t="s">
        <v>132</v>
      </c>
      <c r="O42" s="19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90" t="s">
        <v>132</v>
      </c>
      <c r="M43" s="190" t="s">
        <v>132</v>
      </c>
      <c r="N43" s="190" t="s">
        <v>132</v>
      </c>
      <c r="O43" s="19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90" t="s">
        <v>132</v>
      </c>
      <c r="M44" s="190" t="s">
        <v>132</v>
      </c>
      <c r="N44" s="190" t="s">
        <v>132</v>
      </c>
      <c r="O44" s="19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90" t="s">
        <v>132</v>
      </c>
      <c r="M45" s="190" t="s">
        <v>132</v>
      </c>
      <c r="N45" s="190" t="s">
        <v>132</v>
      </c>
      <c r="O45" s="19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90" t="s">
        <v>132</v>
      </c>
      <c r="M46" s="190" t="s">
        <v>132</v>
      </c>
      <c r="N46" s="190" t="s">
        <v>132</v>
      </c>
      <c r="O46" s="19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90" t="s">
        <v>132</v>
      </c>
      <c r="M47" s="190" t="s">
        <v>132</v>
      </c>
      <c r="N47" s="190" t="s">
        <v>132</v>
      </c>
      <c r="O47" s="19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90" t="s">
        <v>132</v>
      </c>
      <c r="M48" s="190" t="s">
        <v>132</v>
      </c>
      <c r="N48" s="190" t="s">
        <v>132</v>
      </c>
      <c r="O48" s="19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90" t="s">
        <v>132</v>
      </c>
      <c r="M49" s="190" t="s">
        <v>132</v>
      </c>
      <c r="N49" s="190" t="s">
        <v>132</v>
      </c>
      <c r="O49" s="19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90" t="s">
        <v>132</v>
      </c>
      <c r="M50" s="190" t="s">
        <v>132</v>
      </c>
      <c r="N50" s="190" t="s">
        <v>132</v>
      </c>
      <c r="O50" s="19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90" t="s">
        <v>132</v>
      </c>
      <c r="M51" s="190" t="s">
        <v>132</v>
      </c>
      <c r="N51" s="190" t="s">
        <v>132</v>
      </c>
      <c r="O51" s="19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90" t="s">
        <v>132</v>
      </c>
      <c r="M52" s="190" t="s">
        <v>132</v>
      </c>
      <c r="N52" s="190" t="s">
        <v>132</v>
      </c>
      <c r="O52" s="19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90" t="s">
        <v>132</v>
      </c>
      <c r="M53" s="190" t="s">
        <v>132</v>
      </c>
      <c r="N53" s="190" t="s">
        <v>132</v>
      </c>
      <c r="O53" s="19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90" t="s">
        <v>132</v>
      </c>
      <c r="M54" s="190" t="s">
        <v>132</v>
      </c>
      <c r="N54" s="190" t="s">
        <v>132</v>
      </c>
      <c r="O54" s="19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90" t="s">
        <v>132</v>
      </c>
      <c r="M55" s="190" t="s">
        <v>132</v>
      </c>
      <c r="N55" s="190" t="s">
        <v>132</v>
      </c>
      <c r="O55" s="19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90" t="s">
        <v>132</v>
      </c>
      <c r="M56" s="190" t="s">
        <v>132</v>
      </c>
      <c r="N56" s="190" t="s">
        <v>132</v>
      </c>
      <c r="O56" s="19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90" t="s">
        <v>132</v>
      </c>
      <c r="M57" s="190" t="s">
        <v>132</v>
      </c>
      <c r="N57" s="190" t="s">
        <v>132</v>
      </c>
      <c r="O57" s="19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90" t="s">
        <v>132</v>
      </c>
      <c r="M58" s="190" t="s">
        <v>132</v>
      </c>
      <c r="N58" s="190" t="s">
        <v>132</v>
      </c>
      <c r="O58" s="19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90" t="s">
        <v>132</v>
      </c>
      <c r="M59" s="190" t="s">
        <v>132</v>
      </c>
      <c r="N59" s="190" t="s">
        <v>132</v>
      </c>
      <c r="O59" s="19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90" t="s">
        <v>132</v>
      </c>
      <c r="M60" s="190" t="s">
        <v>132</v>
      </c>
      <c r="N60" s="190" t="s">
        <v>132</v>
      </c>
      <c r="O60" s="19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90" t="s">
        <v>132</v>
      </c>
      <c r="M61" s="190" t="s">
        <v>132</v>
      </c>
      <c r="N61" s="190" t="s">
        <v>132</v>
      </c>
      <c r="O61" s="19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90" t="s">
        <v>132</v>
      </c>
      <c r="M62" s="190" t="s">
        <v>132</v>
      </c>
      <c r="N62" s="190" t="s">
        <v>132</v>
      </c>
      <c r="O62" s="19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90" t="s">
        <v>132</v>
      </c>
      <c r="M63" s="190" t="s">
        <v>132</v>
      </c>
      <c r="N63" s="190" t="s">
        <v>132</v>
      </c>
      <c r="O63" s="19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90" t="s">
        <v>132</v>
      </c>
      <c r="M64" s="190" t="s">
        <v>132</v>
      </c>
      <c r="N64" s="190" t="s">
        <v>132</v>
      </c>
      <c r="O64" s="19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90" t="s">
        <v>132</v>
      </c>
      <c r="M65" s="190" t="s">
        <v>132</v>
      </c>
      <c r="N65" s="190" t="s">
        <v>132</v>
      </c>
      <c r="O65" s="19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90" t="s">
        <v>132</v>
      </c>
      <c r="M66" s="190" t="s">
        <v>132</v>
      </c>
      <c r="N66" s="190" t="s">
        <v>132</v>
      </c>
      <c r="O66" s="19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90" t="s">
        <v>132</v>
      </c>
      <c r="M67" s="190" t="s">
        <v>132</v>
      </c>
      <c r="N67" s="190" t="s">
        <v>132</v>
      </c>
      <c r="O67" s="19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90" t="s">
        <v>132</v>
      </c>
      <c r="M68" s="190" t="s">
        <v>132</v>
      </c>
      <c r="N68" s="190" t="s">
        <v>132</v>
      </c>
      <c r="O68" s="19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89">
        <v>2324</v>
      </c>
      <c r="M69" s="189">
        <v>1808</v>
      </c>
      <c r="N69" s="189">
        <v>407.28368491752775</v>
      </c>
      <c r="O69" s="189">
        <v>288.73863614002198</v>
      </c>
    </row>
    <row r="70" spans="1:15">
      <c r="A70" s="150" t="s">
        <v>146</v>
      </c>
      <c r="B70" s="150">
        <v>5</v>
      </c>
      <c r="C70" s="150">
        <v>5</v>
      </c>
      <c r="D70" s="150" t="s">
        <v>231</v>
      </c>
      <c r="E70" s="150" t="s">
        <v>231</v>
      </c>
      <c r="F70" s="150">
        <v>63</v>
      </c>
      <c r="G70" s="150" t="s">
        <v>234</v>
      </c>
      <c r="H70" s="150" t="s">
        <v>136</v>
      </c>
      <c r="I70" s="151" t="s">
        <v>239</v>
      </c>
      <c r="J70" s="150" t="s">
        <v>240</v>
      </c>
      <c r="K70" s="150" t="s">
        <v>283</v>
      </c>
      <c r="L70" s="189">
        <v>548</v>
      </c>
      <c r="M70" s="189">
        <v>722</v>
      </c>
      <c r="N70" s="189">
        <v>35.637059362410923</v>
      </c>
      <c r="O70" s="189">
        <v>123.16655390161731</v>
      </c>
    </row>
    <row r="71" spans="1:15">
      <c r="A71" s="150" t="s">
        <v>146</v>
      </c>
      <c r="B71" s="150">
        <v>5</v>
      </c>
      <c r="C71" s="150">
        <v>5</v>
      </c>
      <c r="D71" s="150" t="s">
        <v>231</v>
      </c>
      <c r="E71" s="150" t="s">
        <v>231</v>
      </c>
      <c r="F71" s="150">
        <v>63</v>
      </c>
      <c r="G71" s="150" t="s">
        <v>234</v>
      </c>
      <c r="H71" s="150" t="s">
        <v>136</v>
      </c>
      <c r="I71" s="151" t="s">
        <v>239</v>
      </c>
      <c r="J71" s="150" t="s">
        <v>240</v>
      </c>
      <c r="K71" s="150" t="s">
        <v>283</v>
      </c>
      <c r="L71" s="189">
        <v>586</v>
      </c>
      <c r="M71" s="189">
        <v>776</v>
      </c>
      <c r="N71" s="189">
        <v>44.497190922573978</v>
      </c>
      <c r="O71" s="189">
        <v>112.16059914247963</v>
      </c>
    </row>
    <row r="72" spans="1:15">
      <c r="A72" s="150" t="s">
        <v>146</v>
      </c>
      <c r="B72" s="150">
        <v>5</v>
      </c>
      <c r="C72" s="150">
        <v>5</v>
      </c>
      <c r="D72" s="150" t="s">
        <v>231</v>
      </c>
      <c r="E72" s="150" t="s">
        <v>231</v>
      </c>
      <c r="F72" s="150">
        <v>63</v>
      </c>
      <c r="G72" s="150" t="s">
        <v>234</v>
      </c>
      <c r="H72" s="150" t="s">
        <v>136</v>
      </c>
      <c r="I72" s="151" t="s">
        <v>239</v>
      </c>
      <c r="J72" s="150" t="s">
        <v>240</v>
      </c>
      <c r="K72" s="150" t="s">
        <v>283</v>
      </c>
      <c r="L72" s="189">
        <v>644</v>
      </c>
      <c r="M72" s="189">
        <v>690</v>
      </c>
      <c r="N72" s="189">
        <v>61.886993787063204</v>
      </c>
      <c r="O72" s="189">
        <v>26.457513110645905</v>
      </c>
    </row>
    <row r="73" spans="1:15">
      <c r="A73" s="150" t="s">
        <v>146</v>
      </c>
      <c r="B73" s="150">
        <v>5</v>
      </c>
      <c r="C73" s="150">
        <v>5</v>
      </c>
      <c r="D73" s="150" t="s">
        <v>231</v>
      </c>
      <c r="E73" s="150" t="s">
        <v>231</v>
      </c>
      <c r="F73" s="150">
        <v>63</v>
      </c>
      <c r="G73" s="150" t="s">
        <v>234</v>
      </c>
      <c r="H73" s="150" t="s">
        <v>136</v>
      </c>
      <c r="I73" s="151" t="s">
        <v>239</v>
      </c>
      <c r="J73" s="150" t="s">
        <v>240</v>
      </c>
      <c r="K73" s="150" t="s">
        <v>283</v>
      </c>
      <c r="L73" s="189">
        <v>622</v>
      </c>
      <c r="M73" s="189">
        <v>642</v>
      </c>
      <c r="N73" s="189">
        <v>70.851958335673402</v>
      </c>
      <c r="O73" s="189">
        <v>77.910204723129823</v>
      </c>
    </row>
    <row r="74" spans="1:15">
      <c r="A74" s="150" t="s">
        <v>146</v>
      </c>
      <c r="B74" s="150">
        <v>5</v>
      </c>
      <c r="C74" s="150">
        <v>5</v>
      </c>
      <c r="D74" s="150" t="s">
        <v>231</v>
      </c>
      <c r="E74" s="150" t="s">
        <v>231</v>
      </c>
      <c r="F74" s="150">
        <v>63</v>
      </c>
      <c r="G74" s="150" t="s">
        <v>234</v>
      </c>
      <c r="H74" s="150" t="s">
        <v>136</v>
      </c>
      <c r="I74" s="151" t="s">
        <v>240</v>
      </c>
      <c r="J74" s="151" t="s">
        <v>241</v>
      </c>
      <c r="K74" s="150" t="s">
        <v>283</v>
      </c>
      <c r="L74" s="189">
        <v>2948</v>
      </c>
      <c r="M74" s="189">
        <v>2584</v>
      </c>
      <c r="N74" s="189">
        <v>1274.1742424017211</v>
      </c>
      <c r="O74" s="189">
        <v>446.40788523501686</v>
      </c>
    </row>
    <row r="75" spans="1:15">
      <c r="A75" s="150" t="s">
        <v>146</v>
      </c>
      <c r="B75" s="150">
        <v>5</v>
      </c>
      <c r="C75" s="150">
        <v>5</v>
      </c>
      <c r="D75" s="150" t="s">
        <v>231</v>
      </c>
      <c r="E75" s="150" t="s">
        <v>231</v>
      </c>
      <c r="F75" s="150">
        <v>63</v>
      </c>
      <c r="G75" s="150" t="s">
        <v>234</v>
      </c>
      <c r="H75" s="150" t="s">
        <v>136</v>
      </c>
      <c r="I75" s="151" t="s">
        <v>239</v>
      </c>
      <c r="J75" s="151" t="s">
        <v>241</v>
      </c>
      <c r="K75" s="150" t="s">
        <v>283</v>
      </c>
      <c r="L75" s="189">
        <v>720</v>
      </c>
      <c r="M75" s="189">
        <v>884</v>
      </c>
      <c r="N75" s="189">
        <v>40</v>
      </c>
      <c r="O75" s="189">
        <v>48.785243670601872</v>
      </c>
    </row>
    <row r="76" spans="1:15">
      <c r="A76" s="150" t="s">
        <v>146</v>
      </c>
      <c r="B76" s="150">
        <v>5</v>
      </c>
      <c r="C76" s="150">
        <v>5</v>
      </c>
      <c r="D76" s="150" t="s">
        <v>231</v>
      </c>
      <c r="E76" s="150" t="s">
        <v>231</v>
      </c>
      <c r="F76" s="150">
        <v>63</v>
      </c>
      <c r="G76" s="150" t="s">
        <v>234</v>
      </c>
      <c r="H76" s="150" t="s">
        <v>136</v>
      </c>
      <c r="I76" s="151" t="s">
        <v>239</v>
      </c>
      <c r="J76" s="151" t="s">
        <v>241</v>
      </c>
      <c r="K76" s="150" t="s">
        <v>283</v>
      </c>
      <c r="L76" s="189">
        <v>928</v>
      </c>
      <c r="M76" s="189">
        <v>858</v>
      </c>
      <c r="N76" s="189">
        <v>216.26372788796553</v>
      </c>
      <c r="O76" s="189">
        <v>81.363382427231969</v>
      </c>
    </row>
    <row r="77" spans="1:15">
      <c r="A77" s="150" t="s">
        <v>146</v>
      </c>
      <c r="B77" s="150">
        <v>5</v>
      </c>
      <c r="C77" s="150">
        <v>5</v>
      </c>
      <c r="D77" s="150" t="s">
        <v>231</v>
      </c>
      <c r="E77" s="150" t="s">
        <v>231</v>
      </c>
      <c r="F77" s="150">
        <v>63</v>
      </c>
      <c r="G77" s="150" t="s">
        <v>234</v>
      </c>
      <c r="H77" s="150" t="s">
        <v>136</v>
      </c>
      <c r="I77" s="151" t="s">
        <v>239</v>
      </c>
      <c r="J77" s="151" t="s">
        <v>241</v>
      </c>
      <c r="K77" s="150" t="s">
        <v>283</v>
      </c>
      <c r="L77" s="189">
        <v>682</v>
      </c>
      <c r="M77" s="189">
        <v>802</v>
      </c>
      <c r="N77" s="189">
        <v>38.340579025361627</v>
      </c>
      <c r="O77" s="189">
        <v>113.00442469213318</v>
      </c>
    </row>
    <row r="78" spans="1:15">
      <c r="A78" s="150" t="s">
        <v>146</v>
      </c>
      <c r="B78" s="150">
        <v>5</v>
      </c>
      <c r="C78" s="150">
        <v>5</v>
      </c>
      <c r="D78" s="150" t="s">
        <v>231</v>
      </c>
      <c r="E78" s="150" t="s">
        <v>231</v>
      </c>
      <c r="F78" s="150">
        <v>63</v>
      </c>
      <c r="G78" s="150" t="s">
        <v>234</v>
      </c>
      <c r="H78" s="150" t="s">
        <v>136</v>
      </c>
      <c r="I78" s="151" t="s">
        <v>239</v>
      </c>
      <c r="J78" s="151" t="s">
        <v>241</v>
      </c>
      <c r="K78" s="150" t="s">
        <v>283</v>
      </c>
      <c r="L78" s="189">
        <v>648</v>
      </c>
      <c r="M78" s="189">
        <v>616</v>
      </c>
      <c r="N78" s="189">
        <v>24.899799195977465</v>
      </c>
      <c r="O78" s="189">
        <v>87.34987120768983</v>
      </c>
    </row>
    <row r="79" spans="1:15">
      <c r="A79" s="150" t="s">
        <v>147</v>
      </c>
      <c r="B79" s="150">
        <v>5</v>
      </c>
      <c r="C79" s="150">
        <v>5</v>
      </c>
      <c r="D79" s="150" t="s">
        <v>231</v>
      </c>
      <c r="E79" s="150" t="s">
        <v>231</v>
      </c>
      <c r="F79" s="150">
        <v>63</v>
      </c>
      <c r="G79" s="150" t="s">
        <v>234</v>
      </c>
      <c r="H79" s="150" t="s">
        <v>136</v>
      </c>
      <c r="I79" s="151" t="s">
        <v>240</v>
      </c>
      <c r="J79" s="150" t="s">
        <v>240</v>
      </c>
      <c r="K79" s="150" t="s">
        <v>283</v>
      </c>
      <c r="L79" s="189">
        <v>1610</v>
      </c>
      <c r="M79" s="189">
        <v>1170</v>
      </c>
      <c r="N79" s="189">
        <v>416.53331199317063</v>
      </c>
      <c r="O79" s="189">
        <v>163.24827717314508</v>
      </c>
    </row>
    <row r="80" spans="1:15">
      <c r="A80" s="150" t="s">
        <v>147</v>
      </c>
      <c r="B80" s="150">
        <v>5</v>
      </c>
      <c r="C80" s="150">
        <v>5</v>
      </c>
      <c r="D80" s="150" t="s">
        <v>231</v>
      </c>
      <c r="E80" s="150" t="s">
        <v>231</v>
      </c>
      <c r="F80" s="150">
        <v>63</v>
      </c>
      <c r="G80" s="150" t="s">
        <v>234</v>
      </c>
      <c r="H80" s="150" t="s">
        <v>136</v>
      </c>
      <c r="I80" s="151" t="s">
        <v>240</v>
      </c>
      <c r="J80" s="151" t="s">
        <v>241</v>
      </c>
      <c r="K80" s="150" t="s">
        <v>283</v>
      </c>
      <c r="L80" s="189">
        <v>1318</v>
      </c>
      <c r="M80" s="189">
        <v>1206</v>
      </c>
      <c r="N80" s="189">
        <v>304.49958949069207</v>
      </c>
      <c r="O80" s="189">
        <v>215.24404753674375</v>
      </c>
    </row>
    <row r="81" spans="1:15">
      <c r="A81" s="150" t="s">
        <v>147</v>
      </c>
      <c r="B81" s="150">
        <v>5</v>
      </c>
      <c r="C81" s="150">
        <v>5</v>
      </c>
      <c r="D81" s="150" t="s">
        <v>231</v>
      </c>
      <c r="E81" s="150" t="s">
        <v>231</v>
      </c>
      <c r="F81" s="150">
        <v>63</v>
      </c>
      <c r="G81" s="150" t="s">
        <v>234</v>
      </c>
      <c r="H81" s="150" t="s">
        <v>136</v>
      </c>
      <c r="I81" s="151" t="s">
        <v>240</v>
      </c>
      <c r="J81" s="151" t="s">
        <v>241</v>
      </c>
      <c r="K81" s="150" t="s">
        <v>283</v>
      </c>
      <c r="L81" s="189">
        <v>2338</v>
      </c>
      <c r="M81" s="189">
        <v>2100</v>
      </c>
      <c r="N81" s="189">
        <v>812.9083589187652</v>
      </c>
      <c r="O81" s="189">
        <v>365.44493429243209</v>
      </c>
    </row>
    <row r="82" spans="1:15">
      <c r="A82" s="150" t="s">
        <v>147</v>
      </c>
      <c r="B82" s="150">
        <v>5</v>
      </c>
      <c r="C82" s="150">
        <v>5</v>
      </c>
      <c r="D82" s="150" t="s">
        <v>231</v>
      </c>
      <c r="E82" s="150" t="s">
        <v>231</v>
      </c>
      <c r="F82" s="150">
        <v>63</v>
      </c>
      <c r="G82" s="150" t="s">
        <v>234</v>
      </c>
      <c r="H82" s="150" t="s">
        <v>136</v>
      </c>
      <c r="I82" s="151" t="s">
        <v>240</v>
      </c>
      <c r="J82" s="151" t="s">
        <v>241</v>
      </c>
      <c r="K82" s="150" t="s">
        <v>283</v>
      </c>
      <c r="L82" s="189">
        <v>3100</v>
      </c>
      <c r="M82" s="189">
        <v>3880</v>
      </c>
      <c r="N82" s="189">
        <v>583.09518948453001</v>
      </c>
      <c r="O82" s="189">
        <v>1482.2280526288794</v>
      </c>
    </row>
    <row r="83" spans="1:15">
      <c r="A83" s="150" t="s">
        <v>147</v>
      </c>
      <c r="B83" s="150">
        <v>5</v>
      </c>
      <c r="C83" s="150">
        <v>5</v>
      </c>
      <c r="D83" s="150" t="s">
        <v>231</v>
      </c>
      <c r="E83" s="150" t="s">
        <v>231</v>
      </c>
      <c r="F83" s="150">
        <v>63</v>
      </c>
      <c r="G83" s="150" t="s">
        <v>234</v>
      </c>
      <c r="H83" s="150" t="s">
        <v>136</v>
      </c>
      <c r="I83" s="151" t="s">
        <v>240</v>
      </c>
      <c r="J83" s="151" t="s">
        <v>241</v>
      </c>
      <c r="K83" s="150" t="s">
        <v>283</v>
      </c>
      <c r="L83" s="189">
        <v>5280</v>
      </c>
      <c r="M83" s="189">
        <v>7880</v>
      </c>
      <c r="N83" s="189">
        <v>1738.3900597967074</v>
      </c>
      <c r="O83" s="189">
        <v>2183.3460559425753</v>
      </c>
    </row>
    <row r="84" spans="1:15">
      <c r="A84" s="150" t="s">
        <v>147</v>
      </c>
      <c r="B84" s="150">
        <v>5</v>
      </c>
      <c r="C84" s="150">
        <v>5</v>
      </c>
      <c r="D84" s="150" t="s">
        <v>231</v>
      </c>
      <c r="E84" s="150" t="s">
        <v>231</v>
      </c>
      <c r="F84" s="150">
        <v>63</v>
      </c>
      <c r="G84" s="150" t="s">
        <v>234</v>
      </c>
      <c r="H84" s="150" t="s">
        <v>136</v>
      </c>
      <c r="I84" s="151" t="s">
        <v>239</v>
      </c>
      <c r="J84" s="150" t="s">
        <v>240</v>
      </c>
      <c r="K84" s="150" t="s">
        <v>283</v>
      </c>
      <c r="L84" s="189">
        <v>886</v>
      </c>
      <c r="M84" s="189">
        <v>828</v>
      </c>
      <c r="N84" s="189">
        <v>109.90905331227269</v>
      </c>
      <c r="O84" s="189">
        <v>122.75992831539125</v>
      </c>
    </row>
    <row r="85" spans="1:15">
      <c r="A85" s="150" t="s">
        <v>147</v>
      </c>
      <c r="B85" s="150">
        <v>5</v>
      </c>
      <c r="C85" s="150">
        <v>5</v>
      </c>
      <c r="D85" s="150" t="s">
        <v>231</v>
      </c>
      <c r="E85" s="150" t="s">
        <v>231</v>
      </c>
      <c r="F85" s="150">
        <v>63</v>
      </c>
      <c r="G85" s="150" t="s">
        <v>234</v>
      </c>
      <c r="H85" s="150" t="s">
        <v>136</v>
      </c>
      <c r="I85" s="151" t="s">
        <v>239</v>
      </c>
      <c r="J85" s="151" t="s">
        <v>241</v>
      </c>
      <c r="K85" s="150" t="s">
        <v>283</v>
      </c>
      <c r="L85" s="189">
        <v>1054</v>
      </c>
      <c r="M85" s="189">
        <v>882</v>
      </c>
      <c r="N85" s="189">
        <v>336.71946780665951</v>
      </c>
      <c r="O85" s="189">
        <v>126.76750372236569</v>
      </c>
    </row>
    <row r="86" spans="1:15">
      <c r="A86" s="150" t="s">
        <v>147</v>
      </c>
      <c r="B86" s="150">
        <v>5</v>
      </c>
      <c r="C86" s="150">
        <v>5</v>
      </c>
      <c r="D86" s="150" t="s">
        <v>231</v>
      </c>
      <c r="E86" s="150" t="s">
        <v>231</v>
      </c>
      <c r="F86" s="150">
        <v>63</v>
      </c>
      <c r="G86" s="150" t="s">
        <v>234</v>
      </c>
      <c r="H86" s="150" t="s">
        <v>136</v>
      </c>
      <c r="I86" s="151" t="s">
        <v>239</v>
      </c>
      <c r="J86" s="151" t="s">
        <v>241</v>
      </c>
      <c r="K86" s="150" t="s">
        <v>283</v>
      </c>
      <c r="L86" s="189">
        <v>1036</v>
      </c>
      <c r="M86" s="189">
        <v>1096</v>
      </c>
      <c r="N86" s="189">
        <v>117.17508267545622</v>
      </c>
      <c r="O86" s="189">
        <v>141.52738250953416</v>
      </c>
    </row>
    <row r="87" spans="1:15">
      <c r="A87" s="150" t="s">
        <v>147</v>
      </c>
      <c r="B87" s="150">
        <v>5</v>
      </c>
      <c r="C87" s="150">
        <v>5</v>
      </c>
      <c r="D87" s="150" t="s">
        <v>231</v>
      </c>
      <c r="E87" s="150" t="s">
        <v>231</v>
      </c>
      <c r="F87" s="150">
        <v>63</v>
      </c>
      <c r="G87" s="150" t="s">
        <v>234</v>
      </c>
      <c r="H87" s="150" t="s">
        <v>136</v>
      </c>
      <c r="I87" s="151" t="s">
        <v>239</v>
      </c>
      <c r="J87" s="151" t="s">
        <v>241</v>
      </c>
      <c r="K87" s="150" t="s">
        <v>283</v>
      </c>
      <c r="L87" s="189">
        <v>1224</v>
      </c>
      <c r="M87" s="189">
        <v>1158</v>
      </c>
      <c r="N87" s="189">
        <v>182.0164827701052</v>
      </c>
      <c r="O87" s="189">
        <v>189.12958520548815</v>
      </c>
    </row>
    <row r="88" spans="1:15">
      <c r="A88" s="150" t="s">
        <v>147</v>
      </c>
      <c r="B88" s="150">
        <v>5</v>
      </c>
      <c r="C88" s="150">
        <v>5</v>
      </c>
      <c r="D88" s="150" t="s">
        <v>231</v>
      </c>
      <c r="E88" s="150" t="s">
        <v>231</v>
      </c>
      <c r="F88" s="150">
        <v>63</v>
      </c>
      <c r="G88" s="150" t="s">
        <v>234</v>
      </c>
      <c r="H88" s="150" t="s">
        <v>136</v>
      </c>
      <c r="I88" s="151" t="s">
        <v>239</v>
      </c>
      <c r="J88" s="151" t="s">
        <v>241</v>
      </c>
      <c r="K88" s="150" t="s">
        <v>283</v>
      </c>
      <c r="L88" s="189">
        <v>1596</v>
      </c>
      <c r="M88" s="189">
        <v>1872</v>
      </c>
      <c r="N88" s="189">
        <v>286.32149762111823</v>
      </c>
      <c r="O88" s="189">
        <v>269.66646065093079</v>
      </c>
    </row>
    <row r="89" spans="1:15">
      <c r="A89" s="150" t="s">
        <v>148</v>
      </c>
      <c r="B89" s="150">
        <v>5</v>
      </c>
      <c r="C89" s="150">
        <v>5</v>
      </c>
      <c r="D89" s="150" t="s">
        <v>231</v>
      </c>
      <c r="E89" s="150" t="s">
        <v>231</v>
      </c>
      <c r="F89" s="150">
        <v>56</v>
      </c>
      <c r="G89" s="150" t="s">
        <v>234</v>
      </c>
      <c r="H89" s="150" t="s">
        <v>136</v>
      </c>
      <c r="I89" s="151" t="s">
        <v>239</v>
      </c>
      <c r="J89" s="151" t="s">
        <v>241</v>
      </c>
      <c r="K89" s="150" t="s">
        <v>283</v>
      </c>
      <c r="L89" s="189">
        <v>408</v>
      </c>
      <c r="M89" s="189">
        <v>442</v>
      </c>
      <c r="N89" s="189">
        <v>19.235384061671343</v>
      </c>
      <c r="O89" s="189">
        <v>36.331804249169899</v>
      </c>
    </row>
    <row r="90" spans="1:15">
      <c r="A90" s="150" t="s">
        <v>148</v>
      </c>
      <c r="B90" s="150">
        <v>5</v>
      </c>
      <c r="C90" s="150">
        <v>5</v>
      </c>
      <c r="D90" s="150" t="s">
        <v>231</v>
      </c>
      <c r="E90" s="150" t="s">
        <v>231</v>
      </c>
      <c r="F90" s="150">
        <v>56</v>
      </c>
      <c r="G90" s="150" t="s">
        <v>234</v>
      </c>
      <c r="H90" s="150" t="s">
        <v>136</v>
      </c>
      <c r="I90" s="151" t="s">
        <v>239</v>
      </c>
      <c r="J90" s="151" t="s">
        <v>241</v>
      </c>
      <c r="K90" s="150" t="s">
        <v>283</v>
      </c>
      <c r="L90" s="189">
        <v>416</v>
      </c>
      <c r="M90" s="189">
        <v>458</v>
      </c>
      <c r="N90" s="189">
        <v>26.076809620810597</v>
      </c>
      <c r="O90" s="189">
        <v>34.205262752974143</v>
      </c>
    </row>
    <row r="91" spans="1:15">
      <c r="A91" s="150" t="s">
        <v>148</v>
      </c>
      <c r="B91" s="150">
        <v>5</v>
      </c>
      <c r="C91" s="150">
        <v>5</v>
      </c>
      <c r="D91" s="150" t="s">
        <v>231</v>
      </c>
      <c r="E91" s="150" t="s">
        <v>231</v>
      </c>
      <c r="F91" s="150">
        <v>56</v>
      </c>
      <c r="G91" s="150" t="s">
        <v>234</v>
      </c>
      <c r="H91" s="150" t="s">
        <v>136</v>
      </c>
      <c r="I91" s="151" t="s">
        <v>239</v>
      </c>
      <c r="J91" s="151" t="s">
        <v>241</v>
      </c>
      <c r="K91" s="150" t="s">
        <v>283</v>
      </c>
      <c r="L91" s="189">
        <v>448</v>
      </c>
      <c r="M91" s="189">
        <v>406</v>
      </c>
      <c r="N91" s="189">
        <v>28.635642126552707</v>
      </c>
      <c r="O91" s="189">
        <v>36.469165057620941</v>
      </c>
    </row>
    <row r="92" spans="1:15">
      <c r="A92" s="150" t="s">
        <v>148</v>
      </c>
      <c r="B92" s="150">
        <v>5</v>
      </c>
      <c r="C92" s="150">
        <v>5</v>
      </c>
      <c r="D92" s="150" t="s">
        <v>231</v>
      </c>
      <c r="E92" s="150" t="s">
        <v>231</v>
      </c>
      <c r="F92" s="150">
        <v>56</v>
      </c>
      <c r="G92" s="150" t="s">
        <v>234</v>
      </c>
      <c r="H92" s="150" t="s">
        <v>136</v>
      </c>
      <c r="I92" s="151" t="s">
        <v>239</v>
      </c>
      <c r="J92" s="151" t="s">
        <v>241</v>
      </c>
      <c r="K92" s="150" t="s">
        <v>283</v>
      </c>
      <c r="L92" s="189">
        <v>442</v>
      </c>
      <c r="M92" s="189">
        <v>454</v>
      </c>
      <c r="N92" s="189">
        <v>38.987177379235852</v>
      </c>
      <c r="O92" s="189">
        <v>15.165750888103101</v>
      </c>
    </row>
    <row r="93" spans="1:15">
      <c r="A93" s="150" t="s">
        <v>148</v>
      </c>
      <c r="B93" s="150">
        <v>5</v>
      </c>
      <c r="C93" s="150">
        <v>5</v>
      </c>
      <c r="D93" s="150" t="s">
        <v>231</v>
      </c>
      <c r="E93" s="150" t="s">
        <v>231</v>
      </c>
      <c r="F93" s="150">
        <v>56</v>
      </c>
      <c r="G93" s="150" t="s">
        <v>234</v>
      </c>
      <c r="H93" s="150" t="s">
        <v>136</v>
      </c>
      <c r="I93" s="151" t="s">
        <v>239</v>
      </c>
      <c r="J93" s="151" t="s">
        <v>241</v>
      </c>
      <c r="K93" s="150" t="s">
        <v>283</v>
      </c>
      <c r="L93" s="189">
        <v>418</v>
      </c>
      <c r="M93" s="189">
        <v>406</v>
      </c>
      <c r="N93" s="189">
        <v>58.906705900092561</v>
      </c>
      <c r="O93" s="189">
        <v>25.099800796022265</v>
      </c>
    </row>
    <row r="94" spans="1:15">
      <c r="A94" s="150" t="s">
        <v>148</v>
      </c>
      <c r="B94" s="150">
        <v>5</v>
      </c>
      <c r="C94" s="150">
        <v>5</v>
      </c>
      <c r="D94" s="150" t="s">
        <v>231</v>
      </c>
      <c r="E94" s="150" t="s">
        <v>231</v>
      </c>
      <c r="F94" s="150">
        <v>56</v>
      </c>
      <c r="G94" s="150" t="s">
        <v>234</v>
      </c>
      <c r="H94" s="150" t="s">
        <v>136</v>
      </c>
      <c r="I94" s="151" t="s">
        <v>239</v>
      </c>
      <c r="J94" s="151" t="s">
        <v>241</v>
      </c>
      <c r="K94" s="150" t="s">
        <v>283</v>
      </c>
      <c r="L94" s="189">
        <v>440</v>
      </c>
      <c r="M94" s="189">
        <v>434</v>
      </c>
      <c r="N94" s="189">
        <v>39.370039370059054</v>
      </c>
      <c r="O94" s="189">
        <v>31.304951684997057</v>
      </c>
    </row>
    <row r="95" spans="1:15">
      <c r="A95" s="150" t="s">
        <v>149</v>
      </c>
      <c r="B95" s="150">
        <v>6</v>
      </c>
      <c r="C95" s="150">
        <v>6</v>
      </c>
      <c r="D95" s="150" t="s">
        <v>231</v>
      </c>
      <c r="E95" s="150" t="s">
        <v>231</v>
      </c>
      <c r="F95" s="150">
        <v>36</v>
      </c>
      <c r="G95" s="150" t="s">
        <v>234</v>
      </c>
      <c r="H95" s="150" t="s">
        <v>137</v>
      </c>
      <c r="I95" s="150" t="s">
        <v>132</v>
      </c>
      <c r="J95" s="150" t="s">
        <v>132</v>
      </c>
      <c r="K95" s="150" t="s">
        <v>283</v>
      </c>
      <c r="L95" s="190" t="s">
        <v>132</v>
      </c>
      <c r="M95" s="190" t="s">
        <v>132</v>
      </c>
      <c r="N95" s="190" t="s">
        <v>132</v>
      </c>
      <c r="O95" s="19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90" t="s">
        <v>132</v>
      </c>
      <c r="M96" s="190" t="s">
        <v>132</v>
      </c>
      <c r="N96" s="190" t="s">
        <v>132</v>
      </c>
      <c r="O96" s="19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90" t="s">
        <v>132</v>
      </c>
      <c r="M97" s="190" t="s">
        <v>132</v>
      </c>
      <c r="N97" s="190" t="s">
        <v>132</v>
      </c>
      <c r="O97" s="19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90" t="s">
        <v>132</v>
      </c>
      <c r="M98" s="190" t="s">
        <v>132</v>
      </c>
      <c r="N98" s="190" t="s">
        <v>132</v>
      </c>
      <c r="O98" s="19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90" t="s">
        <v>132</v>
      </c>
      <c r="M99" s="190" t="s">
        <v>132</v>
      </c>
      <c r="N99" s="190" t="s">
        <v>132</v>
      </c>
      <c r="O99" s="19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90" t="s">
        <v>132</v>
      </c>
      <c r="M100" s="190" t="s">
        <v>132</v>
      </c>
      <c r="N100" s="190" t="s">
        <v>132</v>
      </c>
      <c r="O100" s="190" t="s">
        <v>132</v>
      </c>
    </row>
  </sheetData>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100"/>
  <sheetViews>
    <sheetView workbookViewId="0">
      <selection activeCell="L1" sqref="L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5" width="10.83203125" style="152"/>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291</v>
      </c>
      <c r="M1" s="150" t="s">
        <v>292</v>
      </c>
      <c r="N1" s="150" t="s">
        <v>293</v>
      </c>
      <c r="O1" s="150" t="s">
        <v>294</v>
      </c>
    </row>
    <row r="2" spans="1:15">
      <c r="A2" s="150" t="s">
        <v>119</v>
      </c>
      <c r="B2" s="150">
        <v>3</v>
      </c>
      <c r="C2" s="150">
        <v>3</v>
      </c>
      <c r="D2" s="150" t="s">
        <v>233</v>
      </c>
      <c r="E2" s="150" t="s">
        <v>229</v>
      </c>
      <c r="F2" s="150">
        <v>42</v>
      </c>
      <c r="G2" s="150" t="s">
        <v>234</v>
      </c>
      <c r="H2" s="150" t="s">
        <v>136</v>
      </c>
      <c r="I2" s="150" t="s">
        <v>132</v>
      </c>
      <c r="J2" s="150" t="s">
        <v>132</v>
      </c>
      <c r="K2" s="150" t="s">
        <v>132</v>
      </c>
      <c r="L2" s="190" t="s">
        <v>132</v>
      </c>
      <c r="M2" s="190" t="s">
        <v>132</v>
      </c>
      <c r="N2" s="190" t="s">
        <v>132</v>
      </c>
      <c r="O2" s="190" t="s">
        <v>132</v>
      </c>
    </row>
    <row r="3" spans="1:15">
      <c r="A3" s="150" t="s">
        <v>119</v>
      </c>
      <c r="B3" s="150">
        <v>3</v>
      </c>
      <c r="C3" s="150">
        <v>3</v>
      </c>
      <c r="D3" s="150" t="s">
        <v>233</v>
      </c>
      <c r="E3" s="150" t="s">
        <v>229</v>
      </c>
      <c r="F3" s="150">
        <v>42</v>
      </c>
      <c r="G3" s="150" t="s">
        <v>234</v>
      </c>
      <c r="H3" s="150" t="s">
        <v>136</v>
      </c>
      <c r="I3" s="150" t="s">
        <v>132</v>
      </c>
      <c r="J3" s="150" t="s">
        <v>132</v>
      </c>
      <c r="K3" s="150" t="s">
        <v>132</v>
      </c>
      <c r="L3" s="190" t="s">
        <v>132</v>
      </c>
      <c r="M3" s="190" t="s">
        <v>132</v>
      </c>
      <c r="N3" s="190" t="s">
        <v>132</v>
      </c>
      <c r="O3" s="190" t="s">
        <v>132</v>
      </c>
    </row>
    <row r="4" spans="1:15">
      <c r="A4" s="150" t="s">
        <v>120</v>
      </c>
      <c r="B4" s="150">
        <v>5</v>
      </c>
      <c r="C4" s="150">
        <v>5</v>
      </c>
      <c r="D4" s="150" t="s">
        <v>231</v>
      </c>
      <c r="E4" s="150" t="s">
        <v>231</v>
      </c>
      <c r="F4" s="150">
        <v>63</v>
      </c>
      <c r="G4" s="150" t="s">
        <v>234</v>
      </c>
      <c r="H4" s="150" t="s">
        <v>136</v>
      </c>
      <c r="I4" s="150" t="s">
        <v>239</v>
      </c>
      <c r="J4" s="150" t="s">
        <v>239</v>
      </c>
      <c r="K4" s="150" t="s">
        <v>284</v>
      </c>
      <c r="L4" s="190" t="s">
        <v>132</v>
      </c>
      <c r="M4" s="190" t="s">
        <v>132</v>
      </c>
      <c r="N4" s="190" t="s">
        <v>132</v>
      </c>
      <c r="O4" s="190" t="s">
        <v>132</v>
      </c>
    </row>
    <row r="5" spans="1:15">
      <c r="A5" s="150" t="s">
        <v>120</v>
      </c>
      <c r="B5" s="150">
        <v>5</v>
      </c>
      <c r="C5" s="150">
        <v>5</v>
      </c>
      <c r="D5" s="150" t="s">
        <v>231</v>
      </c>
      <c r="E5" s="150" t="s">
        <v>231</v>
      </c>
      <c r="F5" s="150">
        <v>63</v>
      </c>
      <c r="G5" s="150" t="s">
        <v>234</v>
      </c>
      <c r="H5" s="150" t="s">
        <v>136</v>
      </c>
      <c r="I5" s="150" t="s">
        <v>239</v>
      </c>
      <c r="J5" s="150" t="s">
        <v>239</v>
      </c>
      <c r="K5" s="150" t="s">
        <v>284</v>
      </c>
      <c r="L5" s="190" t="s">
        <v>132</v>
      </c>
      <c r="M5" s="190" t="s">
        <v>132</v>
      </c>
      <c r="N5" s="190" t="s">
        <v>132</v>
      </c>
      <c r="O5" s="190" t="s">
        <v>132</v>
      </c>
    </row>
    <row r="6" spans="1:15">
      <c r="A6" s="150" t="s">
        <v>120</v>
      </c>
      <c r="B6" s="150">
        <v>5</v>
      </c>
      <c r="C6" s="150">
        <v>5</v>
      </c>
      <c r="D6" s="150" t="s">
        <v>231</v>
      </c>
      <c r="E6" s="150" t="s">
        <v>231</v>
      </c>
      <c r="F6" s="150">
        <v>63</v>
      </c>
      <c r="G6" s="150" t="s">
        <v>234</v>
      </c>
      <c r="H6" s="150" t="s">
        <v>136</v>
      </c>
      <c r="I6" s="150" t="s">
        <v>239</v>
      </c>
      <c r="J6" s="150" t="s">
        <v>239</v>
      </c>
      <c r="K6" s="150" t="s">
        <v>284</v>
      </c>
      <c r="L6" s="190" t="s">
        <v>132</v>
      </c>
      <c r="M6" s="190" t="s">
        <v>132</v>
      </c>
      <c r="N6" s="190" t="s">
        <v>132</v>
      </c>
      <c r="O6" s="190" t="s">
        <v>132</v>
      </c>
    </row>
    <row r="7" spans="1:15">
      <c r="A7" s="150" t="s">
        <v>120</v>
      </c>
      <c r="B7" s="150">
        <v>5</v>
      </c>
      <c r="C7" s="150">
        <v>5</v>
      </c>
      <c r="D7" s="150" t="s">
        <v>231</v>
      </c>
      <c r="E7" s="150" t="s">
        <v>231</v>
      </c>
      <c r="F7" s="150">
        <v>63</v>
      </c>
      <c r="G7" s="150" t="s">
        <v>234</v>
      </c>
      <c r="H7" s="150" t="s">
        <v>136</v>
      </c>
      <c r="I7" s="150" t="s">
        <v>239</v>
      </c>
      <c r="J7" s="150" t="s">
        <v>239</v>
      </c>
      <c r="K7" s="150" t="s">
        <v>284</v>
      </c>
      <c r="L7" s="190" t="s">
        <v>132</v>
      </c>
      <c r="M7" s="190" t="s">
        <v>132</v>
      </c>
      <c r="N7" s="190" t="s">
        <v>132</v>
      </c>
      <c r="O7" s="190" t="s">
        <v>132</v>
      </c>
    </row>
    <row r="8" spans="1:15">
      <c r="A8" s="150" t="s">
        <v>120</v>
      </c>
      <c r="B8" s="150">
        <v>5</v>
      </c>
      <c r="C8" s="150">
        <v>5</v>
      </c>
      <c r="D8" s="150" t="s">
        <v>231</v>
      </c>
      <c r="E8" s="150" t="s">
        <v>231</v>
      </c>
      <c r="F8" s="150">
        <v>63</v>
      </c>
      <c r="G8" s="150" t="s">
        <v>234</v>
      </c>
      <c r="H8" s="150" t="s">
        <v>136</v>
      </c>
      <c r="I8" s="150" t="s">
        <v>239</v>
      </c>
      <c r="J8" s="150" t="s">
        <v>239</v>
      </c>
      <c r="K8" s="150" t="s">
        <v>284</v>
      </c>
      <c r="L8" s="190" t="s">
        <v>132</v>
      </c>
      <c r="M8" s="190" t="s">
        <v>132</v>
      </c>
      <c r="N8" s="190" t="s">
        <v>132</v>
      </c>
      <c r="O8" s="190" t="s">
        <v>132</v>
      </c>
    </row>
    <row r="9" spans="1:15">
      <c r="A9" s="150" t="s">
        <v>120</v>
      </c>
      <c r="B9" s="150">
        <v>5</v>
      </c>
      <c r="C9" s="150">
        <v>5</v>
      </c>
      <c r="D9" s="150" t="s">
        <v>231</v>
      </c>
      <c r="E9" s="150" t="s">
        <v>231</v>
      </c>
      <c r="F9" s="150">
        <v>63</v>
      </c>
      <c r="G9" s="150" t="s">
        <v>234</v>
      </c>
      <c r="H9" s="150" t="s">
        <v>136</v>
      </c>
      <c r="I9" s="150" t="s">
        <v>239</v>
      </c>
      <c r="J9" s="150" t="s">
        <v>239</v>
      </c>
      <c r="K9" s="150" t="s">
        <v>284</v>
      </c>
      <c r="L9" s="190" t="s">
        <v>132</v>
      </c>
      <c r="M9" s="190" t="s">
        <v>132</v>
      </c>
      <c r="N9" s="190" t="s">
        <v>132</v>
      </c>
      <c r="O9" s="19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89">
        <v>4466.666666666667</v>
      </c>
      <c r="M10" s="189">
        <v>3416.6666666666665</v>
      </c>
      <c r="N10" s="189">
        <v>962.63527187957629</v>
      </c>
      <c r="O10" s="189">
        <v>1022.5784403490354</v>
      </c>
    </row>
    <row r="11" spans="1:15">
      <c r="A11" s="150" t="s">
        <v>130</v>
      </c>
      <c r="B11" s="150">
        <v>6</v>
      </c>
      <c r="C11" s="150">
        <v>6</v>
      </c>
      <c r="D11" s="150" t="s">
        <v>231</v>
      </c>
      <c r="E11" s="150" t="s">
        <v>231</v>
      </c>
      <c r="F11" s="150">
        <v>63</v>
      </c>
      <c r="G11" s="150" t="s">
        <v>234</v>
      </c>
      <c r="H11" s="150" t="s">
        <v>136</v>
      </c>
      <c r="I11" s="150" t="s">
        <v>239</v>
      </c>
      <c r="J11" s="150" t="s">
        <v>239</v>
      </c>
      <c r="K11" s="150" t="s">
        <v>283</v>
      </c>
      <c r="L11" s="189">
        <v>1943.3333333333333</v>
      </c>
      <c r="M11" s="189">
        <v>2073.3333333333335</v>
      </c>
      <c r="N11" s="189">
        <v>559.0945060243987</v>
      </c>
      <c r="O11" s="189">
        <v>523.74293949099342</v>
      </c>
    </row>
    <row r="12" spans="1:15">
      <c r="A12" s="150" t="s">
        <v>130</v>
      </c>
      <c r="B12" s="150">
        <v>6</v>
      </c>
      <c r="C12" s="150">
        <v>6</v>
      </c>
      <c r="D12" s="150" t="s">
        <v>231</v>
      </c>
      <c r="E12" s="150" t="s">
        <v>231</v>
      </c>
      <c r="F12" s="150">
        <v>63</v>
      </c>
      <c r="G12" s="150" t="s">
        <v>234</v>
      </c>
      <c r="H12" s="150" t="s">
        <v>136</v>
      </c>
      <c r="I12" s="150" t="s">
        <v>239</v>
      </c>
      <c r="J12" s="150" t="s">
        <v>239</v>
      </c>
      <c r="K12" s="150" t="s">
        <v>283</v>
      </c>
      <c r="L12" s="189">
        <v>3983.3333333333335</v>
      </c>
      <c r="M12" s="189">
        <v>5300</v>
      </c>
      <c r="N12" s="189">
        <v>778.24589087682671</v>
      </c>
      <c r="O12" s="189">
        <v>1384.1965178398623</v>
      </c>
    </row>
    <row r="13" spans="1:15">
      <c r="A13" s="150" t="s">
        <v>130</v>
      </c>
      <c r="B13" s="150">
        <v>6</v>
      </c>
      <c r="C13" s="150">
        <v>6</v>
      </c>
      <c r="D13" s="150" t="s">
        <v>231</v>
      </c>
      <c r="E13" s="150" t="s">
        <v>231</v>
      </c>
      <c r="F13" s="150">
        <v>63</v>
      </c>
      <c r="G13" s="150" t="s">
        <v>234</v>
      </c>
      <c r="H13" s="150" t="s">
        <v>136</v>
      </c>
      <c r="I13" s="150" t="s">
        <v>239</v>
      </c>
      <c r="J13" s="150" t="s">
        <v>240</v>
      </c>
      <c r="K13" s="150" t="s">
        <v>284</v>
      </c>
      <c r="L13" s="189">
        <v>678.33333333333337</v>
      </c>
      <c r="M13" s="189">
        <v>820</v>
      </c>
      <c r="N13" s="189">
        <v>152.50136611409977</v>
      </c>
      <c r="O13" s="189">
        <v>235.79652245103193</v>
      </c>
    </row>
    <row r="14" spans="1:15">
      <c r="A14" s="150" t="s">
        <v>131</v>
      </c>
      <c r="B14" s="150">
        <v>3</v>
      </c>
      <c r="C14" s="150">
        <v>3</v>
      </c>
      <c r="D14" s="150" t="s">
        <v>233</v>
      </c>
      <c r="E14" s="150" t="s">
        <v>228</v>
      </c>
      <c r="F14" s="150">
        <v>58</v>
      </c>
      <c r="G14" s="150" t="s">
        <v>234</v>
      </c>
      <c r="H14" s="150" t="s">
        <v>136</v>
      </c>
      <c r="I14" s="150" t="s">
        <v>132</v>
      </c>
      <c r="J14" s="150" t="s">
        <v>132</v>
      </c>
      <c r="K14" s="150" t="s">
        <v>284</v>
      </c>
      <c r="L14" s="190" t="s">
        <v>132</v>
      </c>
      <c r="M14" s="190" t="s">
        <v>132</v>
      </c>
      <c r="N14" s="190" t="s">
        <v>132</v>
      </c>
      <c r="O14" s="19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90" t="s">
        <v>132</v>
      </c>
      <c r="M15" s="190" t="s">
        <v>132</v>
      </c>
      <c r="N15" s="190" t="s">
        <v>132</v>
      </c>
      <c r="O15" s="19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90" t="s">
        <v>132</v>
      </c>
      <c r="M16" s="190" t="s">
        <v>132</v>
      </c>
      <c r="N16" s="190" t="s">
        <v>132</v>
      </c>
      <c r="O16" s="19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90" t="s">
        <v>132</v>
      </c>
      <c r="M17" s="190" t="s">
        <v>132</v>
      </c>
      <c r="N17" s="190" t="s">
        <v>132</v>
      </c>
      <c r="O17" s="19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90" t="s">
        <v>132</v>
      </c>
      <c r="M18" s="190" t="s">
        <v>132</v>
      </c>
      <c r="N18" s="190" t="s">
        <v>132</v>
      </c>
      <c r="O18" s="19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90" t="s">
        <v>132</v>
      </c>
      <c r="M19" s="190" t="s">
        <v>132</v>
      </c>
      <c r="N19" s="190" t="s">
        <v>132</v>
      </c>
      <c r="O19" s="19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90" t="s">
        <v>132</v>
      </c>
      <c r="M20" s="190" t="s">
        <v>132</v>
      </c>
      <c r="N20" s="190" t="s">
        <v>132</v>
      </c>
      <c r="O20" s="19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90" t="s">
        <v>132</v>
      </c>
      <c r="M21" s="190" t="s">
        <v>132</v>
      </c>
      <c r="N21" s="190" t="s">
        <v>132</v>
      </c>
      <c r="O21" s="190" t="s">
        <v>132</v>
      </c>
    </row>
    <row r="22" spans="1:15">
      <c r="A22" s="150" t="s">
        <v>133</v>
      </c>
      <c r="B22" s="150">
        <v>8</v>
      </c>
      <c r="C22" s="150">
        <v>8</v>
      </c>
      <c r="D22" s="150" t="s">
        <v>231</v>
      </c>
      <c r="E22" s="150" t="s">
        <v>231</v>
      </c>
      <c r="F22" s="150">
        <v>63</v>
      </c>
      <c r="G22" s="150" t="s">
        <v>234</v>
      </c>
      <c r="H22" s="150" t="s">
        <v>137</v>
      </c>
      <c r="I22" s="150" t="s">
        <v>239</v>
      </c>
      <c r="J22" s="151" t="s">
        <v>241</v>
      </c>
      <c r="K22" s="150" t="s">
        <v>284</v>
      </c>
      <c r="L22" s="190" t="s">
        <v>132</v>
      </c>
      <c r="M22" s="190" t="s">
        <v>132</v>
      </c>
      <c r="N22" s="190" t="s">
        <v>132</v>
      </c>
      <c r="O22" s="190" t="s">
        <v>132</v>
      </c>
    </row>
    <row r="23" spans="1:15">
      <c r="A23" s="150" t="s">
        <v>133</v>
      </c>
      <c r="B23" s="150">
        <v>8</v>
      </c>
      <c r="C23" s="150">
        <v>8</v>
      </c>
      <c r="D23" s="150" t="s">
        <v>231</v>
      </c>
      <c r="E23" s="150" t="s">
        <v>231</v>
      </c>
      <c r="F23" s="150">
        <v>63</v>
      </c>
      <c r="G23" s="150" t="s">
        <v>234</v>
      </c>
      <c r="H23" s="150" t="s">
        <v>137</v>
      </c>
      <c r="I23" s="150" t="s">
        <v>240</v>
      </c>
      <c r="J23" s="151" t="s">
        <v>241</v>
      </c>
      <c r="K23" s="150" t="s">
        <v>284</v>
      </c>
      <c r="L23" s="190" t="s">
        <v>132</v>
      </c>
      <c r="M23" s="190" t="s">
        <v>132</v>
      </c>
      <c r="N23" s="190" t="s">
        <v>132</v>
      </c>
      <c r="O23" s="190" t="s">
        <v>132</v>
      </c>
    </row>
    <row r="24" spans="1:15">
      <c r="A24" s="150" t="s">
        <v>133</v>
      </c>
      <c r="B24" s="150">
        <v>8</v>
      </c>
      <c r="C24" s="150">
        <v>8</v>
      </c>
      <c r="D24" s="150" t="s">
        <v>231</v>
      </c>
      <c r="E24" s="150" t="s">
        <v>231</v>
      </c>
      <c r="F24" s="150">
        <v>63</v>
      </c>
      <c r="G24" s="150" t="s">
        <v>234</v>
      </c>
      <c r="H24" s="150" t="s">
        <v>137</v>
      </c>
      <c r="I24" s="150" t="s">
        <v>239</v>
      </c>
      <c r="J24" s="151" t="s">
        <v>241</v>
      </c>
      <c r="K24" s="150" t="s">
        <v>284</v>
      </c>
      <c r="L24" s="190" t="s">
        <v>132</v>
      </c>
      <c r="M24" s="190" t="s">
        <v>132</v>
      </c>
      <c r="N24" s="190" t="s">
        <v>132</v>
      </c>
      <c r="O24" s="190" t="s">
        <v>132</v>
      </c>
    </row>
    <row r="25" spans="1:15">
      <c r="A25" s="150" t="s">
        <v>134</v>
      </c>
      <c r="B25" s="150">
        <v>4</v>
      </c>
      <c r="C25" s="150">
        <v>4</v>
      </c>
      <c r="D25" s="150" t="s">
        <v>231</v>
      </c>
      <c r="E25" s="150" t="s">
        <v>231</v>
      </c>
      <c r="F25" s="150">
        <v>72</v>
      </c>
      <c r="G25" s="150" t="s">
        <v>235</v>
      </c>
      <c r="H25" s="150" t="s">
        <v>136</v>
      </c>
      <c r="I25" s="150" t="s">
        <v>240</v>
      </c>
      <c r="J25" s="151" t="s">
        <v>241</v>
      </c>
      <c r="K25" s="150" t="s">
        <v>284</v>
      </c>
      <c r="L25" s="190" t="s">
        <v>132</v>
      </c>
      <c r="M25" s="190" t="s">
        <v>132</v>
      </c>
      <c r="N25" s="190" t="s">
        <v>132</v>
      </c>
      <c r="O25" s="19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90" t="s">
        <v>132</v>
      </c>
      <c r="M26" s="190" t="s">
        <v>132</v>
      </c>
      <c r="N26" s="190" t="s">
        <v>132</v>
      </c>
      <c r="O26" s="190" t="s">
        <v>132</v>
      </c>
    </row>
    <row r="27" spans="1:15">
      <c r="A27" s="150" t="s">
        <v>135</v>
      </c>
      <c r="B27" s="150">
        <v>6</v>
      </c>
      <c r="C27" s="150">
        <v>6</v>
      </c>
      <c r="D27" s="150" t="s">
        <v>231</v>
      </c>
      <c r="E27" s="150" t="s">
        <v>231</v>
      </c>
      <c r="F27" s="150">
        <v>79</v>
      </c>
      <c r="G27" s="150" t="s">
        <v>235</v>
      </c>
      <c r="H27" s="150" t="s">
        <v>136</v>
      </c>
      <c r="I27" s="150" t="s">
        <v>239</v>
      </c>
      <c r="J27" s="150" t="s">
        <v>240</v>
      </c>
      <c r="K27" s="150" t="s">
        <v>284</v>
      </c>
      <c r="L27" s="190" t="s">
        <v>132</v>
      </c>
      <c r="M27" s="190" t="s">
        <v>132</v>
      </c>
      <c r="N27" s="190" t="s">
        <v>132</v>
      </c>
      <c r="O27" s="190" t="s">
        <v>132</v>
      </c>
    </row>
    <row r="28" spans="1:15">
      <c r="A28" s="150" t="s">
        <v>138</v>
      </c>
      <c r="B28" s="150">
        <v>4</v>
      </c>
      <c r="C28" s="150">
        <v>4</v>
      </c>
      <c r="D28" s="150" t="s">
        <v>231</v>
      </c>
      <c r="E28" s="150" t="s">
        <v>231</v>
      </c>
      <c r="F28" s="150">
        <v>63</v>
      </c>
      <c r="G28" s="150" t="s">
        <v>235</v>
      </c>
      <c r="H28" s="150" t="s">
        <v>137</v>
      </c>
      <c r="I28" s="150" t="s">
        <v>132</v>
      </c>
      <c r="J28" s="150" t="s">
        <v>239</v>
      </c>
      <c r="K28" s="150" t="s">
        <v>285</v>
      </c>
      <c r="L28" s="190" t="s">
        <v>132</v>
      </c>
      <c r="M28" s="190" t="s">
        <v>132</v>
      </c>
      <c r="N28" s="190" t="s">
        <v>132</v>
      </c>
      <c r="O28" s="190" t="s">
        <v>132</v>
      </c>
    </row>
    <row r="29" spans="1:15">
      <c r="A29" s="150" t="s">
        <v>138</v>
      </c>
      <c r="B29" s="150">
        <v>4</v>
      </c>
      <c r="C29" s="150">
        <v>4</v>
      </c>
      <c r="D29" s="150" t="s">
        <v>231</v>
      </c>
      <c r="E29" s="150" t="s">
        <v>231</v>
      </c>
      <c r="F29" s="150">
        <v>63</v>
      </c>
      <c r="G29" s="150" t="s">
        <v>235</v>
      </c>
      <c r="H29" s="150" t="s">
        <v>137</v>
      </c>
      <c r="I29" s="150" t="s">
        <v>132</v>
      </c>
      <c r="J29" s="150" t="s">
        <v>239</v>
      </c>
      <c r="K29" s="150" t="s">
        <v>285</v>
      </c>
      <c r="L29" s="190" t="s">
        <v>132</v>
      </c>
      <c r="M29" s="190" t="s">
        <v>132</v>
      </c>
      <c r="N29" s="190" t="s">
        <v>132</v>
      </c>
      <c r="O29" s="190" t="s">
        <v>132</v>
      </c>
    </row>
    <row r="30" spans="1:15">
      <c r="A30" s="150" t="s">
        <v>139</v>
      </c>
      <c r="B30" s="150">
        <v>3</v>
      </c>
      <c r="C30" s="150">
        <v>3</v>
      </c>
      <c r="D30" s="150" t="s">
        <v>233</v>
      </c>
      <c r="E30" s="150" t="s">
        <v>228</v>
      </c>
      <c r="F30" s="150">
        <v>42</v>
      </c>
      <c r="G30" s="150" t="s">
        <v>234</v>
      </c>
      <c r="H30" s="150" t="s">
        <v>136</v>
      </c>
      <c r="I30" s="150" t="s">
        <v>132</v>
      </c>
      <c r="J30" s="150" t="s">
        <v>132</v>
      </c>
      <c r="K30" s="150" t="s">
        <v>283</v>
      </c>
      <c r="L30" s="190" t="s">
        <v>132</v>
      </c>
      <c r="M30" s="190" t="s">
        <v>132</v>
      </c>
      <c r="N30" s="190" t="s">
        <v>132</v>
      </c>
      <c r="O30" s="19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90" t="s">
        <v>132</v>
      </c>
      <c r="M31" s="190" t="s">
        <v>132</v>
      </c>
      <c r="N31" s="190" t="s">
        <v>132</v>
      </c>
      <c r="O31" s="19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90" t="s">
        <v>132</v>
      </c>
      <c r="M32" s="190" t="s">
        <v>132</v>
      </c>
      <c r="N32" s="190" t="s">
        <v>132</v>
      </c>
      <c r="O32" s="19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90" t="s">
        <v>132</v>
      </c>
      <c r="M33" s="190" t="s">
        <v>132</v>
      </c>
      <c r="N33" s="190" t="s">
        <v>132</v>
      </c>
      <c r="O33" s="19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90" t="s">
        <v>132</v>
      </c>
      <c r="M34" s="190" t="s">
        <v>132</v>
      </c>
      <c r="N34" s="190" t="s">
        <v>132</v>
      </c>
      <c r="O34" s="19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90" t="s">
        <v>132</v>
      </c>
      <c r="M35" s="190" t="s">
        <v>132</v>
      </c>
      <c r="N35" s="190" t="s">
        <v>132</v>
      </c>
      <c r="O35" s="19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90" t="s">
        <v>132</v>
      </c>
      <c r="M36" s="190" t="s">
        <v>132</v>
      </c>
      <c r="N36" s="190" t="s">
        <v>132</v>
      </c>
      <c r="O36" s="19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90" t="s">
        <v>132</v>
      </c>
      <c r="M37" s="190" t="s">
        <v>132</v>
      </c>
      <c r="N37" s="190" t="s">
        <v>132</v>
      </c>
      <c r="O37" s="19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90" t="s">
        <v>132</v>
      </c>
      <c r="M38" s="190" t="s">
        <v>132</v>
      </c>
      <c r="N38" s="190" t="s">
        <v>132</v>
      </c>
      <c r="O38" s="19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90" t="s">
        <v>132</v>
      </c>
      <c r="M39" s="190" t="s">
        <v>132</v>
      </c>
      <c r="N39" s="190" t="s">
        <v>132</v>
      </c>
      <c r="O39" s="19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90" t="s">
        <v>132</v>
      </c>
      <c r="M40" s="190" t="s">
        <v>132</v>
      </c>
      <c r="N40" s="190" t="s">
        <v>132</v>
      </c>
      <c r="O40" s="19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90" t="s">
        <v>132</v>
      </c>
      <c r="M41" s="190" t="s">
        <v>132</v>
      </c>
      <c r="N41" s="190" t="s">
        <v>132</v>
      </c>
      <c r="O41" s="19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90" t="s">
        <v>132</v>
      </c>
      <c r="M42" s="190" t="s">
        <v>132</v>
      </c>
      <c r="N42" s="190" t="s">
        <v>132</v>
      </c>
      <c r="O42" s="19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90" t="s">
        <v>132</v>
      </c>
      <c r="M43" s="190" t="s">
        <v>132</v>
      </c>
      <c r="N43" s="190" t="s">
        <v>132</v>
      </c>
      <c r="O43" s="19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90" t="s">
        <v>132</v>
      </c>
      <c r="M44" s="190" t="s">
        <v>132</v>
      </c>
      <c r="N44" s="190" t="s">
        <v>132</v>
      </c>
      <c r="O44" s="19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90" t="s">
        <v>132</v>
      </c>
      <c r="M45" s="190" t="s">
        <v>132</v>
      </c>
      <c r="N45" s="190" t="s">
        <v>132</v>
      </c>
      <c r="O45" s="19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90" t="s">
        <v>132</v>
      </c>
      <c r="M46" s="190" t="s">
        <v>132</v>
      </c>
      <c r="N46" s="190" t="s">
        <v>132</v>
      </c>
      <c r="O46" s="19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90" t="s">
        <v>132</v>
      </c>
      <c r="M47" s="190" t="s">
        <v>132</v>
      </c>
      <c r="N47" s="190" t="s">
        <v>132</v>
      </c>
      <c r="O47" s="19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90" t="s">
        <v>132</v>
      </c>
      <c r="M48" s="190" t="s">
        <v>132</v>
      </c>
      <c r="N48" s="190" t="s">
        <v>132</v>
      </c>
      <c r="O48" s="19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90" t="s">
        <v>132</v>
      </c>
      <c r="M49" s="190" t="s">
        <v>132</v>
      </c>
      <c r="N49" s="190" t="s">
        <v>132</v>
      </c>
      <c r="O49" s="19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90" t="s">
        <v>132</v>
      </c>
      <c r="M50" s="190" t="s">
        <v>132</v>
      </c>
      <c r="N50" s="190" t="s">
        <v>132</v>
      </c>
      <c r="O50" s="19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90" t="s">
        <v>132</v>
      </c>
      <c r="M51" s="190" t="s">
        <v>132</v>
      </c>
      <c r="N51" s="190" t="s">
        <v>132</v>
      </c>
      <c r="O51" s="19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90" t="s">
        <v>132</v>
      </c>
      <c r="M52" s="190" t="s">
        <v>132</v>
      </c>
      <c r="N52" s="190" t="s">
        <v>132</v>
      </c>
      <c r="O52" s="19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90" t="s">
        <v>132</v>
      </c>
      <c r="M53" s="190" t="s">
        <v>132</v>
      </c>
      <c r="N53" s="190" t="s">
        <v>132</v>
      </c>
      <c r="O53" s="19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90" t="s">
        <v>132</v>
      </c>
      <c r="M54" s="190" t="s">
        <v>132</v>
      </c>
      <c r="N54" s="190" t="s">
        <v>132</v>
      </c>
      <c r="O54" s="19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90" t="s">
        <v>132</v>
      </c>
      <c r="M55" s="190" t="s">
        <v>132</v>
      </c>
      <c r="N55" s="190" t="s">
        <v>132</v>
      </c>
      <c r="O55" s="19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90" t="s">
        <v>132</v>
      </c>
      <c r="M56" s="190" t="s">
        <v>132</v>
      </c>
      <c r="N56" s="190" t="s">
        <v>132</v>
      </c>
      <c r="O56" s="19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90" t="s">
        <v>132</v>
      </c>
      <c r="M57" s="190" t="s">
        <v>132</v>
      </c>
      <c r="N57" s="190" t="s">
        <v>132</v>
      </c>
      <c r="O57" s="19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90" t="s">
        <v>132</v>
      </c>
      <c r="M58" s="190" t="s">
        <v>132</v>
      </c>
      <c r="N58" s="190" t="s">
        <v>132</v>
      </c>
      <c r="O58" s="19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90" t="s">
        <v>132</v>
      </c>
      <c r="M59" s="190" t="s">
        <v>132</v>
      </c>
      <c r="N59" s="190" t="s">
        <v>132</v>
      </c>
      <c r="O59" s="19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90" t="s">
        <v>132</v>
      </c>
      <c r="M60" s="190" t="s">
        <v>132</v>
      </c>
      <c r="N60" s="190" t="s">
        <v>132</v>
      </c>
      <c r="O60" s="19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90" t="s">
        <v>132</v>
      </c>
      <c r="M61" s="190" t="s">
        <v>132</v>
      </c>
      <c r="N61" s="190" t="s">
        <v>132</v>
      </c>
      <c r="O61" s="19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90" t="s">
        <v>132</v>
      </c>
      <c r="M62" s="190" t="s">
        <v>132</v>
      </c>
      <c r="N62" s="190" t="s">
        <v>132</v>
      </c>
      <c r="O62" s="19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90" t="s">
        <v>132</v>
      </c>
      <c r="M63" s="190" t="s">
        <v>132</v>
      </c>
      <c r="N63" s="190" t="s">
        <v>132</v>
      </c>
      <c r="O63" s="19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90" t="s">
        <v>132</v>
      </c>
      <c r="M64" s="190" t="s">
        <v>132</v>
      </c>
      <c r="N64" s="190" t="s">
        <v>132</v>
      </c>
      <c r="O64" s="19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90" t="s">
        <v>132</v>
      </c>
      <c r="M65" s="190" t="s">
        <v>132</v>
      </c>
      <c r="N65" s="190" t="s">
        <v>132</v>
      </c>
      <c r="O65" s="19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90" t="s">
        <v>132</v>
      </c>
      <c r="M66" s="190" t="s">
        <v>132</v>
      </c>
      <c r="N66" s="190" t="s">
        <v>132</v>
      </c>
      <c r="O66" s="19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90" t="s">
        <v>132</v>
      </c>
      <c r="M67" s="190" t="s">
        <v>132</v>
      </c>
      <c r="N67" s="190" t="s">
        <v>132</v>
      </c>
      <c r="O67" s="19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90" t="s">
        <v>132</v>
      </c>
      <c r="M68" s="190" t="s">
        <v>132</v>
      </c>
      <c r="N68" s="190" t="s">
        <v>132</v>
      </c>
      <c r="O68" s="19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89">
        <v>4200</v>
      </c>
      <c r="M69" s="189">
        <v>3400</v>
      </c>
      <c r="N69" s="189">
        <v>367.42346141747669</v>
      </c>
      <c r="O69" s="189">
        <v>651.92024052026488</v>
      </c>
    </row>
    <row r="70" spans="1:15">
      <c r="A70" s="150" t="s">
        <v>146</v>
      </c>
      <c r="B70" s="150">
        <v>5</v>
      </c>
      <c r="C70" s="150">
        <v>5</v>
      </c>
      <c r="D70" s="150" t="s">
        <v>231</v>
      </c>
      <c r="E70" s="150" t="s">
        <v>231</v>
      </c>
      <c r="F70" s="150">
        <v>63</v>
      </c>
      <c r="G70" s="150" t="s">
        <v>234</v>
      </c>
      <c r="H70" s="150" t="s">
        <v>136</v>
      </c>
      <c r="I70" s="151" t="s">
        <v>239</v>
      </c>
      <c r="J70" s="150" t="s">
        <v>240</v>
      </c>
      <c r="K70" s="150" t="s">
        <v>283</v>
      </c>
      <c r="L70" s="189">
        <v>6980</v>
      </c>
      <c r="M70" s="189">
        <v>4920</v>
      </c>
      <c r="N70" s="189">
        <v>258.84358211089568</v>
      </c>
      <c r="O70" s="189">
        <v>870.05746936624826</v>
      </c>
    </row>
    <row r="71" spans="1:15">
      <c r="A71" s="150" t="s">
        <v>146</v>
      </c>
      <c r="B71" s="150">
        <v>5</v>
      </c>
      <c r="C71" s="150">
        <v>5</v>
      </c>
      <c r="D71" s="150" t="s">
        <v>231</v>
      </c>
      <c r="E71" s="150" t="s">
        <v>231</v>
      </c>
      <c r="F71" s="150">
        <v>63</v>
      </c>
      <c r="G71" s="150" t="s">
        <v>234</v>
      </c>
      <c r="H71" s="150" t="s">
        <v>136</v>
      </c>
      <c r="I71" s="151" t="s">
        <v>239</v>
      </c>
      <c r="J71" s="150" t="s">
        <v>240</v>
      </c>
      <c r="K71" s="150" t="s">
        <v>283</v>
      </c>
      <c r="L71" s="189">
        <v>7380</v>
      </c>
      <c r="M71" s="189">
        <v>5060</v>
      </c>
      <c r="N71" s="189">
        <v>661.05975524153644</v>
      </c>
      <c r="O71" s="189">
        <v>981.32563402776759</v>
      </c>
    </row>
    <row r="72" spans="1:15">
      <c r="A72" s="150" t="s">
        <v>146</v>
      </c>
      <c r="B72" s="150">
        <v>5</v>
      </c>
      <c r="C72" s="150">
        <v>5</v>
      </c>
      <c r="D72" s="150" t="s">
        <v>231</v>
      </c>
      <c r="E72" s="150" t="s">
        <v>231</v>
      </c>
      <c r="F72" s="150">
        <v>63</v>
      </c>
      <c r="G72" s="150" t="s">
        <v>234</v>
      </c>
      <c r="H72" s="150" t="s">
        <v>136</v>
      </c>
      <c r="I72" s="151" t="s">
        <v>239</v>
      </c>
      <c r="J72" s="150" t="s">
        <v>240</v>
      </c>
      <c r="K72" s="150" t="s">
        <v>283</v>
      </c>
      <c r="L72" s="189">
        <v>7280</v>
      </c>
      <c r="M72" s="189">
        <v>5120</v>
      </c>
      <c r="N72" s="189">
        <v>701.42711667000731</v>
      </c>
      <c r="O72" s="189">
        <v>881.47603484156048</v>
      </c>
    </row>
    <row r="73" spans="1:15">
      <c r="A73" s="150" t="s">
        <v>146</v>
      </c>
      <c r="B73" s="150">
        <v>5</v>
      </c>
      <c r="C73" s="150">
        <v>5</v>
      </c>
      <c r="D73" s="150" t="s">
        <v>231</v>
      </c>
      <c r="E73" s="150" t="s">
        <v>231</v>
      </c>
      <c r="F73" s="150">
        <v>63</v>
      </c>
      <c r="G73" s="150" t="s">
        <v>234</v>
      </c>
      <c r="H73" s="150" t="s">
        <v>136</v>
      </c>
      <c r="I73" s="151" t="s">
        <v>239</v>
      </c>
      <c r="J73" s="150" t="s">
        <v>240</v>
      </c>
      <c r="K73" s="150" t="s">
        <v>283</v>
      </c>
      <c r="L73" s="189">
        <v>7860</v>
      </c>
      <c r="M73" s="189">
        <v>5580</v>
      </c>
      <c r="N73" s="189">
        <v>861.974477580398</v>
      </c>
      <c r="O73" s="189">
        <v>414.7288270665544</v>
      </c>
    </row>
    <row r="74" spans="1:15">
      <c r="A74" s="150" t="s">
        <v>146</v>
      </c>
      <c r="B74" s="150">
        <v>5</v>
      </c>
      <c r="C74" s="150">
        <v>5</v>
      </c>
      <c r="D74" s="150" t="s">
        <v>231</v>
      </c>
      <c r="E74" s="150" t="s">
        <v>231</v>
      </c>
      <c r="F74" s="150">
        <v>63</v>
      </c>
      <c r="G74" s="150" t="s">
        <v>234</v>
      </c>
      <c r="H74" s="150" t="s">
        <v>136</v>
      </c>
      <c r="I74" s="151" t="s">
        <v>240</v>
      </c>
      <c r="J74" s="151" t="s">
        <v>241</v>
      </c>
      <c r="K74" s="150" t="s">
        <v>283</v>
      </c>
      <c r="L74" s="189">
        <v>7520</v>
      </c>
      <c r="M74" s="189">
        <v>3660</v>
      </c>
      <c r="N74" s="189">
        <v>4730.4333839512001</v>
      </c>
      <c r="O74" s="189">
        <v>782.94316524253531</v>
      </c>
    </row>
    <row r="75" spans="1:15">
      <c r="A75" s="150" t="s">
        <v>146</v>
      </c>
      <c r="B75" s="150">
        <v>5</v>
      </c>
      <c r="C75" s="150">
        <v>5</v>
      </c>
      <c r="D75" s="150" t="s">
        <v>231</v>
      </c>
      <c r="E75" s="150" t="s">
        <v>231</v>
      </c>
      <c r="F75" s="150">
        <v>63</v>
      </c>
      <c r="G75" s="150" t="s">
        <v>234</v>
      </c>
      <c r="H75" s="150" t="s">
        <v>136</v>
      </c>
      <c r="I75" s="151" t="s">
        <v>239</v>
      </c>
      <c r="J75" s="151" t="s">
        <v>241</v>
      </c>
      <c r="K75" s="150" t="s">
        <v>283</v>
      </c>
      <c r="L75" s="189">
        <v>4660</v>
      </c>
      <c r="M75" s="189">
        <v>3800</v>
      </c>
      <c r="N75" s="189">
        <v>585.66201857385283</v>
      </c>
      <c r="O75" s="189">
        <v>430.11626335213134</v>
      </c>
    </row>
    <row r="76" spans="1:15">
      <c r="A76" s="150" t="s">
        <v>146</v>
      </c>
      <c r="B76" s="150">
        <v>5</v>
      </c>
      <c r="C76" s="150">
        <v>5</v>
      </c>
      <c r="D76" s="150" t="s">
        <v>231</v>
      </c>
      <c r="E76" s="150" t="s">
        <v>231</v>
      </c>
      <c r="F76" s="150">
        <v>63</v>
      </c>
      <c r="G76" s="150" t="s">
        <v>234</v>
      </c>
      <c r="H76" s="150" t="s">
        <v>136</v>
      </c>
      <c r="I76" s="151" t="s">
        <v>239</v>
      </c>
      <c r="J76" s="151" t="s">
        <v>241</v>
      </c>
      <c r="K76" s="150" t="s">
        <v>283</v>
      </c>
      <c r="L76" s="189">
        <v>4080</v>
      </c>
      <c r="M76" s="189">
        <v>3820</v>
      </c>
      <c r="N76" s="189">
        <v>901.11042608550474</v>
      </c>
      <c r="O76" s="189">
        <v>248.99799195977465</v>
      </c>
    </row>
    <row r="77" spans="1:15">
      <c r="A77" s="150" t="s">
        <v>146</v>
      </c>
      <c r="B77" s="150">
        <v>5</v>
      </c>
      <c r="C77" s="150">
        <v>5</v>
      </c>
      <c r="D77" s="150" t="s">
        <v>231</v>
      </c>
      <c r="E77" s="150" t="s">
        <v>231</v>
      </c>
      <c r="F77" s="150">
        <v>63</v>
      </c>
      <c r="G77" s="150" t="s">
        <v>234</v>
      </c>
      <c r="H77" s="150" t="s">
        <v>136</v>
      </c>
      <c r="I77" s="151" t="s">
        <v>239</v>
      </c>
      <c r="J77" s="151" t="s">
        <v>241</v>
      </c>
      <c r="K77" s="150" t="s">
        <v>283</v>
      </c>
      <c r="L77" s="189">
        <v>5020</v>
      </c>
      <c r="M77" s="189">
        <v>3540</v>
      </c>
      <c r="N77" s="189">
        <v>712.03932475671593</v>
      </c>
      <c r="O77" s="189">
        <v>304.95901363953811</v>
      </c>
    </row>
    <row r="78" spans="1:15">
      <c r="A78" s="150" t="s">
        <v>146</v>
      </c>
      <c r="B78" s="150">
        <v>5</v>
      </c>
      <c r="C78" s="150">
        <v>5</v>
      </c>
      <c r="D78" s="150" t="s">
        <v>231</v>
      </c>
      <c r="E78" s="150" t="s">
        <v>231</v>
      </c>
      <c r="F78" s="150">
        <v>63</v>
      </c>
      <c r="G78" s="150" t="s">
        <v>234</v>
      </c>
      <c r="H78" s="150" t="s">
        <v>136</v>
      </c>
      <c r="I78" s="151" t="s">
        <v>239</v>
      </c>
      <c r="J78" s="151" t="s">
        <v>241</v>
      </c>
      <c r="K78" s="150" t="s">
        <v>283</v>
      </c>
      <c r="L78" s="189">
        <v>5480</v>
      </c>
      <c r="M78" s="189">
        <v>4220</v>
      </c>
      <c r="N78" s="189">
        <v>531.03672189407018</v>
      </c>
      <c r="O78" s="189">
        <v>286.35642126552705</v>
      </c>
    </row>
    <row r="79" spans="1:15">
      <c r="A79" s="150" t="s">
        <v>147</v>
      </c>
      <c r="B79" s="150">
        <v>5</v>
      </c>
      <c r="C79" s="150">
        <v>5</v>
      </c>
      <c r="D79" s="150" t="s">
        <v>231</v>
      </c>
      <c r="E79" s="150" t="s">
        <v>231</v>
      </c>
      <c r="F79" s="150">
        <v>63</v>
      </c>
      <c r="G79" s="150" t="s">
        <v>234</v>
      </c>
      <c r="H79" s="150" t="s">
        <v>136</v>
      </c>
      <c r="I79" s="151" t="s">
        <v>240</v>
      </c>
      <c r="J79" s="150" t="s">
        <v>240</v>
      </c>
      <c r="K79" s="150" t="s">
        <v>283</v>
      </c>
      <c r="L79" s="189">
        <v>6100</v>
      </c>
      <c r="M79" s="189">
        <v>5560</v>
      </c>
      <c r="N79" s="189">
        <v>1456.0219778561036</v>
      </c>
      <c r="O79" s="189">
        <v>638.74877690685253</v>
      </c>
    </row>
    <row r="80" spans="1:15">
      <c r="A80" s="150" t="s">
        <v>147</v>
      </c>
      <c r="B80" s="150">
        <v>5</v>
      </c>
      <c r="C80" s="150">
        <v>5</v>
      </c>
      <c r="D80" s="150" t="s">
        <v>231</v>
      </c>
      <c r="E80" s="150" t="s">
        <v>231</v>
      </c>
      <c r="F80" s="150">
        <v>63</v>
      </c>
      <c r="G80" s="150" t="s">
        <v>234</v>
      </c>
      <c r="H80" s="150" t="s">
        <v>136</v>
      </c>
      <c r="I80" s="151" t="s">
        <v>240</v>
      </c>
      <c r="J80" s="151" t="s">
        <v>241</v>
      </c>
      <c r="K80" s="150" t="s">
        <v>283</v>
      </c>
      <c r="L80" s="189">
        <v>6860</v>
      </c>
      <c r="M80" s="189">
        <v>7620</v>
      </c>
      <c r="N80" s="189">
        <v>472.2287581247038</v>
      </c>
      <c r="O80" s="189">
        <v>892.74856482662574</v>
      </c>
    </row>
    <row r="81" spans="1:15">
      <c r="A81" s="150" t="s">
        <v>147</v>
      </c>
      <c r="B81" s="150">
        <v>5</v>
      </c>
      <c r="C81" s="150">
        <v>5</v>
      </c>
      <c r="D81" s="150" t="s">
        <v>231</v>
      </c>
      <c r="E81" s="150" t="s">
        <v>231</v>
      </c>
      <c r="F81" s="150">
        <v>63</v>
      </c>
      <c r="G81" s="150" t="s">
        <v>234</v>
      </c>
      <c r="H81" s="150" t="s">
        <v>136</v>
      </c>
      <c r="I81" s="151" t="s">
        <v>240</v>
      </c>
      <c r="J81" s="151" t="s">
        <v>241</v>
      </c>
      <c r="K81" s="150" t="s">
        <v>283</v>
      </c>
      <c r="L81" s="189">
        <v>8720</v>
      </c>
      <c r="M81" s="189">
        <v>7460</v>
      </c>
      <c r="N81" s="189">
        <v>925.74294488264934</v>
      </c>
      <c r="O81" s="189">
        <v>1182.3705003085961</v>
      </c>
    </row>
    <row r="82" spans="1:15">
      <c r="A82" s="150" t="s">
        <v>147</v>
      </c>
      <c r="B82" s="150">
        <v>5</v>
      </c>
      <c r="C82" s="150">
        <v>5</v>
      </c>
      <c r="D82" s="150" t="s">
        <v>231</v>
      </c>
      <c r="E82" s="150" t="s">
        <v>231</v>
      </c>
      <c r="F82" s="150">
        <v>63</v>
      </c>
      <c r="G82" s="150" t="s">
        <v>234</v>
      </c>
      <c r="H82" s="150" t="s">
        <v>136</v>
      </c>
      <c r="I82" s="151" t="s">
        <v>240</v>
      </c>
      <c r="J82" s="151" t="s">
        <v>241</v>
      </c>
      <c r="K82" s="150" t="s">
        <v>283</v>
      </c>
      <c r="L82" s="189">
        <v>9400</v>
      </c>
      <c r="M82" s="189">
        <v>7160</v>
      </c>
      <c r="N82" s="189">
        <v>796.86887252546137</v>
      </c>
      <c r="O82" s="189">
        <v>782.94316524253531</v>
      </c>
    </row>
    <row r="83" spans="1:15">
      <c r="A83" s="150" t="s">
        <v>147</v>
      </c>
      <c r="B83" s="150">
        <v>5</v>
      </c>
      <c r="C83" s="150">
        <v>5</v>
      </c>
      <c r="D83" s="150" t="s">
        <v>231</v>
      </c>
      <c r="E83" s="150" t="s">
        <v>231</v>
      </c>
      <c r="F83" s="150">
        <v>63</v>
      </c>
      <c r="G83" s="150" t="s">
        <v>234</v>
      </c>
      <c r="H83" s="150" t="s">
        <v>136</v>
      </c>
      <c r="I83" s="151" t="s">
        <v>240</v>
      </c>
      <c r="J83" s="151" t="s">
        <v>241</v>
      </c>
      <c r="K83" s="150" t="s">
        <v>283</v>
      </c>
      <c r="L83" s="189">
        <v>10880</v>
      </c>
      <c r="M83" s="189">
        <v>10220</v>
      </c>
      <c r="N83" s="189">
        <v>912.14034007931036</v>
      </c>
      <c r="O83" s="189">
        <v>1070.9808588392232</v>
      </c>
    </row>
    <row r="84" spans="1:15">
      <c r="A84" s="150" t="s">
        <v>147</v>
      </c>
      <c r="B84" s="150">
        <v>5</v>
      </c>
      <c r="C84" s="150">
        <v>5</v>
      </c>
      <c r="D84" s="150" t="s">
        <v>231</v>
      </c>
      <c r="E84" s="150" t="s">
        <v>231</v>
      </c>
      <c r="F84" s="150">
        <v>63</v>
      </c>
      <c r="G84" s="150" t="s">
        <v>234</v>
      </c>
      <c r="H84" s="150" t="s">
        <v>136</v>
      </c>
      <c r="I84" s="151" t="s">
        <v>239</v>
      </c>
      <c r="J84" s="150" t="s">
        <v>240</v>
      </c>
      <c r="K84" s="150" t="s">
        <v>283</v>
      </c>
      <c r="L84" s="189">
        <v>6460</v>
      </c>
      <c r="M84" s="189">
        <v>5680</v>
      </c>
      <c r="N84" s="189">
        <v>585.66201857385283</v>
      </c>
      <c r="O84" s="189">
        <v>544.97706373754852</v>
      </c>
    </row>
    <row r="85" spans="1:15">
      <c r="A85" s="150" t="s">
        <v>147</v>
      </c>
      <c r="B85" s="150">
        <v>5</v>
      </c>
      <c r="C85" s="150">
        <v>5</v>
      </c>
      <c r="D85" s="150" t="s">
        <v>231</v>
      </c>
      <c r="E85" s="150" t="s">
        <v>231</v>
      </c>
      <c r="F85" s="150">
        <v>63</v>
      </c>
      <c r="G85" s="150" t="s">
        <v>234</v>
      </c>
      <c r="H85" s="150" t="s">
        <v>136</v>
      </c>
      <c r="I85" s="151" t="s">
        <v>239</v>
      </c>
      <c r="J85" s="151" t="s">
        <v>241</v>
      </c>
      <c r="K85" s="150" t="s">
        <v>283</v>
      </c>
      <c r="L85" s="189">
        <v>6220</v>
      </c>
      <c r="M85" s="189">
        <v>5300</v>
      </c>
      <c r="N85" s="189">
        <v>653.45237010818164</v>
      </c>
      <c r="O85" s="189">
        <v>927.36184954957037</v>
      </c>
    </row>
    <row r="86" spans="1:15">
      <c r="A86" s="150" t="s">
        <v>147</v>
      </c>
      <c r="B86" s="150">
        <v>5</v>
      </c>
      <c r="C86" s="150">
        <v>5</v>
      </c>
      <c r="D86" s="150" t="s">
        <v>231</v>
      </c>
      <c r="E86" s="150" t="s">
        <v>231</v>
      </c>
      <c r="F86" s="150">
        <v>63</v>
      </c>
      <c r="G86" s="150" t="s">
        <v>234</v>
      </c>
      <c r="H86" s="150" t="s">
        <v>136</v>
      </c>
      <c r="I86" s="151" t="s">
        <v>239</v>
      </c>
      <c r="J86" s="151" t="s">
        <v>241</v>
      </c>
      <c r="K86" s="150" t="s">
        <v>283</v>
      </c>
      <c r="L86" s="189">
        <v>5980</v>
      </c>
      <c r="M86" s="189">
        <v>5400</v>
      </c>
      <c r="N86" s="189">
        <v>657.26706900619934</v>
      </c>
      <c r="O86" s="189">
        <v>418.33001326703777</v>
      </c>
    </row>
    <row r="87" spans="1:15">
      <c r="A87" s="150" t="s">
        <v>147</v>
      </c>
      <c r="B87" s="150">
        <v>5</v>
      </c>
      <c r="C87" s="150">
        <v>5</v>
      </c>
      <c r="D87" s="150" t="s">
        <v>231</v>
      </c>
      <c r="E87" s="150" t="s">
        <v>231</v>
      </c>
      <c r="F87" s="150">
        <v>63</v>
      </c>
      <c r="G87" s="150" t="s">
        <v>234</v>
      </c>
      <c r="H87" s="150" t="s">
        <v>136</v>
      </c>
      <c r="I87" s="151" t="s">
        <v>239</v>
      </c>
      <c r="J87" s="151" t="s">
        <v>241</v>
      </c>
      <c r="K87" s="150" t="s">
        <v>283</v>
      </c>
      <c r="L87" s="189">
        <v>5980</v>
      </c>
      <c r="M87" s="189">
        <v>5280</v>
      </c>
      <c r="N87" s="189">
        <v>432.43496620879307</v>
      </c>
      <c r="O87" s="189">
        <v>715.54175279993274</v>
      </c>
    </row>
    <row r="88" spans="1:15">
      <c r="A88" s="150" t="s">
        <v>147</v>
      </c>
      <c r="B88" s="150">
        <v>5</v>
      </c>
      <c r="C88" s="150">
        <v>5</v>
      </c>
      <c r="D88" s="150" t="s">
        <v>231</v>
      </c>
      <c r="E88" s="150" t="s">
        <v>231</v>
      </c>
      <c r="F88" s="150">
        <v>63</v>
      </c>
      <c r="G88" s="150" t="s">
        <v>234</v>
      </c>
      <c r="H88" s="150" t="s">
        <v>136</v>
      </c>
      <c r="I88" s="151" t="s">
        <v>239</v>
      </c>
      <c r="J88" s="151" t="s">
        <v>241</v>
      </c>
      <c r="K88" s="150" t="s">
        <v>283</v>
      </c>
      <c r="L88" s="189">
        <v>5520</v>
      </c>
      <c r="M88" s="189">
        <v>5020</v>
      </c>
      <c r="N88" s="189">
        <v>936.48278147545238</v>
      </c>
      <c r="O88" s="189">
        <v>881.47603484156048</v>
      </c>
    </row>
    <row r="89" spans="1:15">
      <c r="A89" s="150" t="s">
        <v>148</v>
      </c>
      <c r="B89" s="150">
        <v>5</v>
      </c>
      <c r="C89" s="150">
        <v>5</v>
      </c>
      <c r="D89" s="150" t="s">
        <v>231</v>
      </c>
      <c r="E89" s="150" t="s">
        <v>231</v>
      </c>
      <c r="F89" s="150">
        <v>56</v>
      </c>
      <c r="G89" s="150" t="s">
        <v>234</v>
      </c>
      <c r="H89" s="150" t="s">
        <v>136</v>
      </c>
      <c r="I89" s="151" t="s">
        <v>239</v>
      </c>
      <c r="J89" s="151" t="s">
        <v>241</v>
      </c>
      <c r="K89" s="150" t="s">
        <v>283</v>
      </c>
      <c r="L89" s="189">
        <v>9620</v>
      </c>
      <c r="M89" s="189">
        <v>7840</v>
      </c>
      <c r="N89" s="189">
        <v>554.07580708780279</v>
      </c>
      <c r="O89" s="189">
        <v>270.18512172212593</v>
      </c>
    </row>
    <row r="90" spans="1:15">
      <c r="A90" s="150" t="s">
        <v>148</v>
      </c>
      <c r="B90" s="150">
        <v>5</v>
      </c>
      <c r="C90" s="150">
        <v>5</v>
      </c>
      <c r="D90" s="150" t="s">
        <v>231</v>
      </c>
      <c r="E90" s="150" t="s">
        <v>231</v>
      </c>
      <c r="F90" s="150">
        <v>56</v>
      </c>
      <c r="G90" s="150" t="s">
        <v>234</v>
      </c>
      <c r="H90" s="150" t="s">
        <v>136</v>
      </c>
      <c r="I90" s="151" t="s">
        <v>239</v>
      </c>
      <c r="J90" s="151" t="s">
        <v>241</v>
      </c>
      <c r="K90" s="150" t="s">
        <v>283</v>
      </c>
      <c r="L90" s="189">
        <v>9700</v>
      </c>
      <c r="M90" s="189">
        <v>8760</v>
      </c>
      <c r="N90" s="189">
        <v>616.44140029689765</v>
      </c>
      <c r="O90" s="189">
        <v>288.09720581775866</v>
      </c>
    </row>
    <row r="91" spans="1:15">
      <c r="A91" s="150" t="s">
        <v>148</v>
      </c>
      <c r="B91" s="150">
        <v>5</v>
      </c>
      <c r="C91" s="150">
        <v>5</v>
      </c>
      <c r="D91" s="150" t="s">
        <v>231</v>
      </c>
      <c r="E91" s="150" t="s">
        <v>231</v>
      </c>
      <c r="F91" s="150">
        <v>56</v>
      </c>
      <c r="G91" s="150" t="s">
        <v>234</v>
      </c>
      <c r="H91" s="150" t="s">
        <v>136</v>
      </c>
      <c r="I91" s="151" t="s">
        <v>239</v>
      </c>
      <c r="J91" s="151" t="s">
        <v>241</v>
      </c>
      <c r="K91" s="150" t="s">
        <v>283</v>
      </c>
      <c r="L91" s="189">
        <v>9820</v>
      </c>
      <c r="M91" s="189">
        <v>8620</v>
      </c>
      <c r="N91" s="189">
        <v>864.29161745327599</v>
      </c>
      <c r="O91" s="189">
        <v>420.71367935925258</v>
      </c>
    </row>
    <row r="92" spans="1:15">
      <c r="A92" s="150" t="s">
        <v>148</v>
      </c>
      <c r="B92" s="150">
        <v>5</v>
      </c>
      <c r="C92" s="150">
        <v>5</v>
      </c>
      <c r="D92" s="150" t="s">
        <v>231</v>
      </c>
      <c r="E92" s="150" t="s">
        <v>231</v>
      </c>
      <c r="F92" s="150">
        <v>56</v>
      </c>
      <c r="G92" s="150" t="s">
        <v>234</v>
      </c>
      <c r="H92" s="150" t="s">
        <v>136</v>
      </c>
      <c r="I92" s="151" t="s">
        <v>239</v>
      </c>
      <c r="J92" s="151" t="s">
        <v>241</v>
      </c>
      <c r="K92" s="150" t="s">
        <v>283</v>
      </c>
      <c r="L92" s="189">
        <v>10680</v>
      </c>
      <c r="M92" s="189">
        <v>9600</v>
      </c>
      <c r="N92" s="189">
        <v>383.40579025361626</v>
      </c>
      <c r="O92" s="189">
        <v>509.90195135927848</v>
      </c>
    </row>
    <row r="93" spans="1:15">
      <c r="A93" s="150" t="s">
        <v>148</v>
      </c>
      <c r="B93" s="150">
        <v>5</v>
      </c>
      <c r="C93" s="150">
        <v>5</v>
      </c>
      <c r="D93" s="150" t="s">
        <v>231</v>
      </c>
      <c r="E93" s="150" t="s">
        <v>231</v>
      </c>
      <c r="F93" s="150">
        <v>56</v>
      </c>
      <c r="G93" s="150" t="s">
        <v>234</v>
      </c>
      <c r="H93" s="150" t="s">
        <v>136</v>
      </c>
      <c r="I93" s="151" t="s">
        <v>239</v>
      </c>
      <c r="J93" s="151" t="s">
        <v>241</v>
      </c>
      <c r="K93" s="150" t="s">
        <v>283</v>
      </c>
      <c r="L93" s="189">
        <v>9800</v>
      </c>
      <c r="M93" s="189">
        <v>8520</v>
      </c>
      <c r="N93" s="189">
        <v>1017.3494974687902</v>
      </c>
      <c r="O93" s="189">
        <v>311.44823004794875</v>
      </c>
    </row>
    <row r="94" spans="1:15">
      <c r="A94" s="150" t="s">
        <v>148</v>
      </c>
      <c r="B94" s="150">
        <v>5</v>
      </c>
      <c r="C94" s="150">
        <v>5</v>
      </c>
      <c r="D94" s="150" t="s">
        <v>231</v>
      </c>
      <c r="E94" s="150" t="s">
        <v>231</v>
      </c>
      <c r="F94" s="150">
        <v>56</v>
      </c>
      <c r="G94" s="150" t="s">
        <v>234</v>
      </c>
      <c r="H94" s="150" t="s">
        <v>136</v>
      </c>
      <c r="I94" s="151" t="s">
        <v>239</v>
      </c>
      <c r="J94" s="151" t="s">
        <v>241</v>
      </c>
      <c r="K94" s="150" t="s">
        <v>283</v>
      </c>
      <c r="L94" s="189">
        <v>9900</v>
      </c>
      <c r="M94" s="189">
        <v>8580</v>
      </c>
      <c r="N94" s="189">
        <v>578.79184513951122</v>
      </c>
      <c r="O94" s="189">
        <v>653.45237010818164</v>
      </c>
    </row>
    <row r="95" spans="1:15">
      <c r="A95" s="150" t="s">
        <v>149</v>
      </c>
      <c r="B95" s="150">
        <v>6</v>
      </c>
      <c r="C95" s="150">
        <v>6</v>
      </c>
      <c r="D95" s="150" t="s">
        <v>231</v>
      </c>
      <c r="E95" s="150" t="s">
        <v>231</v>
      </c>
      <c r="F95" s="150">
        <v>36</v>
      </c>
      <c r="G95" s="150" t="s">
        <v>234</v>
      </c>
      <c r="H95" s="150" t="s">
        <v>137</v>
      </c>
      <c r="I95" s="150" t="s">
        <v>132</v>
      </c>
      <c r="J95" s="150" t="s">
        <v>132</v>
      </c>
      <c r="K95" s="150" t="s">
        <v>283</v>
      </c>
      <c r="L95" s="190" t="s">
        <v>132</v>
      </c>
      <c r="M95" s="190" t="s">
        <v>132</v>
      </c>
      <c r="N95" s="190" t="s">
        <v>132</v>
      </c>
      <c r="O95" s="19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90" t="s">
        <v>132</v>
      </c>
      <c r="M96" s="190" t="s">
        <v>132</v>
      </c>
      <c r="N96" s="190" t="s">
        <v>132</v>
      </c>
      <c r="O96" s="19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90" t="s">
        <v>132</v>
      </c>
      <c r="M97" s="190" t="s">
        <v>132</v>
      </c>
      <c r="N97" s="190" t="s">
        <v>132</v>
      </c>
      <c r="O97" s="19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90" t="s">
        <v>132</v>
      </c>
      <c r="M98" s="190" t="s">
        <v>132</v>
      </c>
      <c r="N98" s="190" t="s">
        <v>132</v>
      </c>
      <c r="O98" s="19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90" t="s">
        <v>132</v>
      </c>
      <c r="M99" s="190" t="s">
        <v>132</v>
      </c>
      <c r="N99" s="190" t="s">
        <v>132</v>
      </c>
      <c r="O99" s="19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90" t="s">
        <v>132</v>
      </c>
      <c r="M100" s="190" t="s">
        <v>132</v>
      </c>
      <c r="N100" s="190" t="s">
        <v>132</v>
      </c>
      <c r="O100" s="190" t="s">
        <v>132</v>
      </c>
    </row>
  </sheetData>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100"/>
  <sheetViews>
    <sheetView workbookViewId="0">
      <selection activeCell="L1" sqref="L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5" width="10.83203125" style="152"/>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295</v>
      </c>
      <c r="M1" s="150" t="s">
        <v>296</v>
      </c>
      <c r="N1" s="150" t="s">
        <v>297</v>
      </c>
      <c r="O1" s="150" t="s">
        <v>298</v>
      </c>
    </row>
    <row r="2" spans="1:15">
      <c r="A2" s="150" t="s">
        <v>119</v>
      </c>
      <c r="B2" s="150">
        <v>3</v>
      </c>
      <c r="C2" s="150">
        <v>3</v>
      </c>
      <c r="D2" s="150" t="s">
        <v>233</v>
      </c>
      <c r="E2" s="150" t="s">
        <v>229</v>
      </c>
      <c r="F2" s="150">
        <v>42</v>
      </c>
      <c r="G2" s="150" t="s">
        <v>234</v>
      </c>
      <c r="H2" s="150" t="s">
        <v>136</v>
      </c>
      <c r="I2" s="150" t="s">
        <v>132</v>
      </c>
      <c r="J2" s="150" t="s">
        <v>132</v>
      </c>
      <c r="K2" s="150" t="s">
        <v>132</v>
      </c>
      <c r="L2" s="190" t="s">
        <v>132</v>
      </c>
      <c r="M2" s="190" t="s">
        <v>132</v>
      </c>
      <c r="N2" s="190" t="s">
        <v>132</v>
      </c>
      <c r="O2" s="190" t="s">
        <v>132</v>
      </c>
    </row>
    <row r="3" spans="1:15">
      <c r="A3" s="150" t="s">
        <v>119</v>
      </c>
      <c r="B3" s="150">
        <v>3</v>
      </c>
      <c r="C3" s="150">
        <v>3</v>
      </c>
      <c r="D3" s="150" t="s">
        <v>233</v>
      </c>
      <c r="E3" s="150" t="s">
        <v>229</v>
      </c>
      <c r="F3" s="150">
        <v>42</v>
      </c>
      <c r="G3" s="150" t="s">
        <v>234</v>
      </c>
      <c r="H3" s="150" t="s">
        <v>136</v>
      </c>
      <c r="I3" s="150" t="s">
        <v>132</v>
      </c>
      <c r="J3" s="150" t="s">
        <v>132</v>
      </c>
      <c r="K3" s="150" t="s">
        <v>132</v>
      </c>
      <c r="L3" s="190" t="s">
        <v>132</v>
      </c>
      <c r="M3" s="190" t="s">
        <v>132</v>
      </c>
      <c r="N3" s="190" t="s">
        <v>132</v>
      </c>
      <c r="O3" s="190" t="s">
        <v>132</v>
      </c>
    </row>
    <row r="4" spans="1:15">
      <c r="A4" s="150" t="s">
        <v>120</v>
      </c>
      <c r="B4" s="150">
        <v>5</v>
      </c>
      <c r="C4" s="150">
        <v>5</v>
      </c>
      <c r="D4" s="150" t="s">
        <v>231</v>
      </c>
      <c r="E4" s="150" t="s">
        <v>231</v>
      </c>
      <c r="F4" s="150">
        <v>63</v>
      </c>
      <c r="G4" s="150" t="s">
        <v>234</v>
      </c>
      <c r="H4" s="150" t="s">
        <v>136</v>
      </c>
      <c r="I4" s="150" t="s">
        <v>239</v>
      </c>
      <c r="J4" s="150" t="s">
        <v>239</v>
      </c>
      <c r="K4" s="150" t="s">
        <v>284</v>
      </c>
      <c r="L4" s="190" t="s">
        <v>132</v>
      </c>
      <c r="M4" s="190" t="s">
        <v>132</v>
      </c>
      <c r="N4" s="190" t="s">
        <v>132</v>
      </c>
      <c r="O4" s="190" t="s">
        <v>132</v>
      </c>
    </row>
    <row r="5" spans="1:15">
      <c r="A5" s="150" t="s">
        <v>120</v>
      </c>
      <c r="B5" s="150">
        <v>5</v>
      </c>
      <c r="C5" s="150">
        <v>5</v>
      </c>
      <c r="D5" s="150" t="s">
        <v>231</v>
      </c>
      <c r="E5" s="150" t="s">
        <v>231</v>
      </c>
      <c r="F5" s="150">
        <v>63</v>
      </c>
      <c r="G5" s="150" t="s">
        <v>234</v>
      </c>
      <c r="H5" s="150" t="s">
        <v>136</v>
      </c>
      <c r="I5" s="150" t="s">
        <v>239</v>
      </c>
      <c r="J5" s="150" t="s">
        <v>239</v>
      </c>
      <c r="K5" s="150" t="s">
        <v>284</v>
      </c>
      <c r="L5" s="190" t="s">
        <v>132</v>
      </c>
      <c r="M5" s="190" t="s">
        <v>132</v>
      </c>
      <c r="N5" s="190" t="s">
        <v>132</v>
      </c>
      <c r="O5" s="190" t="s">
        <v>132</v>
      </c>
    </row>
    <row r="6" spans="1:15">
      <c r="A6" s="150" t="s">
        <v>120</v>
      </c>
      <c r="B6" s="150">
        <v>5</v>
      </c>
      <c r="C6" s="150">
        <v>5</v>
      </c>
      <c r="D6" s="150" t="s">
        <v>231</v>
      </c>
      <c r="E6" s="150" t="s">
        <v>231</v>
      </c>
      <c r="F6" s="150">
        <v>63</v>
      </c>
      <c r="G6" s="150" t="s">
        <v>234</v>
      </c>
      <c r="H6" s="150" t="s">
        <v>136</v>
      </c>
      <c r="I6" s="150" t="s">
        <v>239</v>
      </c>
      <c r="J6" s="150" t="s">
        <v>239</v>
      </c>
      <c r="K6" s="150" t="s">
        <v>284</v>
      </c>
      <c r="L6" s="190" t="s">
        <v>132</v>
      </c>
      <c r="M6" s="190" t="s">
        <v>132</v>
      </c>
      <c r="N6" s="190" t="s">
        <v>132</v>
      </c>
      <c r="O6" s="190" t="s">
        <v>132</v>
      </c>
    </row>
    <row r="7" spans="1:15">
      <c r="A7" s="150" t="s">
        <v>120</v>
      </c>
      <c r="B7" s="150">
        <v>5</v>
      </c>
      <c r="C7" s="150">
        <v>5</v>
      </c>
      <c r="D7" s="150" t="s">
        <v>231</v>
      </c>
      <c r="E7" s="150" t="s">
        <v>231</v>
      </c>
      <c r="F7" s="150">
        <v>63</v>
      </c>
      <c r="G7" s="150" t="s">
        <v>234</v>
      </c>
      <c r="H7" s="150" t="s">
        <v>136</v>
      </c>
      <c r="I7" s="150" t="s">
        <v>239</v>
      </c>
      <c r="J7" s="150" t="s">
        <v>239</v>
      </c>
      <c r="K7" s="150" t="s">
        <v>284</v>
      </c>
      <c r="L7" s="190" t="s">
        <v>132</v>
      </c>
      <c r="M7" s="190" t="s">
        <v>132</v>
      </c>
      <c r="N7" s="190" t="s">
        <v>132</v>
      </c>
      <c r="O7" s="190" t="s">
        <v>132</v>
      </c>
    </row>
    <row r="8" spans="1:15">
      <c r="A8" s="150" t="s">
        <v>120</v>
      </c>
      <c r="B8" s="150">
        <v>5</v>
      </c>
      <c r="C8" s="150">
        <v>5</v>
      </c>
      <c r="D8" s="150" t="s">
        <v>231</v>
      </c>
      <c r="E8" s="150" t="s">
        <v>231</v>
      </c>
      <c r="F8" s="150">
        <v>63</v>
      </c>
      <c r="G8" s="150" t="s">
        <v>234</v>
      </c>
      <c r="H8" s="150" t="s">
        <v>136</v>
      </c>
      <c r="I8" s="150" t="s">
        <v>239</v>
      </c>
      <c r="J8" s="150" t="s">
        <v>239</v>
      </c>
      <c r="K8" s="150" t="s">
        <v>284</v>
      </c>
      <c r="L8" s="190" t="s">
        <v>132</v>
      </c>
      <c r="M8" s="190" t="s">
        <v>132</v>
      </c>
      <c r="N8" s="190" t="s">
        <v>132</v>
      </c>
      <c r="O8" s="190" t="s">
        <v>132</v>
      </c>
    </row>
    <row r="9" spans="1:15">
      <c r="A9" s="150" t="s">
        <v>120</v>
      </c>
      <c r="B9" s="150">
        <v>5</v>
      </c>
      <c r="C9" s="150">
        <v>5</v>
      </c>
      <c r="D9" s="150" t="s">
        <v>231</v>
      </c>
      <c r="E9" s="150" t="s">
        <v>231</v>
      </c>
      <c r="F9" s="150">
        <v>63</v>
      </c>
      <c r="G9" s="150" t="s">
        <v>234</v>
      </c>
      <c r="H9" s="150" t="s">
        <v>136</v>
      </c>
      <c r="I9" s="150" t="s">
        <v>239</v>
      </c>
      <c r="J9" s="150" t="s">
        <v>239</v>
      </c>
      <c r="K9" s="150" t="s">
        <v>284</v>
      </c>
      <c r="L9" s="190" t="s">
        <v>132</v>
      </c>
      <c r="M9" s="190" t="s">
        <v>132</v>
      </c>
      <c r="N9" s="190" t="s">
        <v>132</v>
      </c>
      <c r="O9" s="19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89">
        <v>337.23612446007911</v>
      </c>
      <c r="M10" s="189">
        <v>162.80704301770058</v>
      </c>
      <c r="N10" s="189">
        <v>219.7357004754451</v>
      </c>
      <c r="O10" s="189">
        <v>56.419079954431005</v>
      </c>
    </row>
    <row r="11" spans="1:15">
      <c r="A11" s="150" t="s">
        <v>130</v>
      </c>
      <c r="B11" s="150">
        <v>6</v>
      </c>
      <c r="C11" s="150">
        <v>6</v>
      </c>
      <c r="D11" s="150" t="s">
        <v>231</v>
      </c>
      <c r="E11" s="150" t="s">
        <v>231</v>
      </c>
      <c r="F11" s="150">
        <v>63</v>
      </c>
      <c r="G11" s="150" t="s">
        <v>234</v>
      </c>
      <c r="H11" s="150" t="s">
        <v>136</v>
      </c>
      <c r="I11" s="150" t="s">
        <v>239</v>
      </c>
      <c r="J11" s="150" t="s">
        <v>239</v>
      </c>
      <c r="K11" s="150" t="s">
        <v>283</v>
      </c>
      <c r="L11" s="189">
        <v>263.35208209393346</v>
      </c>
      <c r="M11" s="189">
        <v>227.96382957050994</v>
      </c>
      <c r="N11" s="189">
        <v>101.89660948060427</v>
      </c>
      <c r="O11" s="189">
        <v>58.202481082179155</v>
      </c>
    </row>
    <row r="12" spans="1:15">
      <c r="A12" s="150" t="s">
        <v>130</v>
      </c>
      <c r="B12" s="150">
        <v>6</v>
      </c>
      <c r="C12" s="150">
        <v>6</v>
      </c>
      <c r="D12" s="150" t="s">
        <v>231</v>
      </c>
      <c r="E12" s="150" t="s">
        <v>231</v>
      </c>
      <c r="F12" s="150">
        <v>63</v>
      </c>
      <c r="G12" s="150" t="s">
        <v>234</v>
      </c>
      <c r="H12" s="150" t="s">
        <v>136</v>
      </c>
      <c r="I12" s="150" t="s">
        <v>239</v>
      </c>
      <c r="J12" s="150" t="s">
        <v>239</v>
      </c>
      <c r="K12" s="150" t="s">
        <v>283</v>
      </c>
      <c r="L12" s="189">
        <v>158.66702778098653</v>
      </c>
      <c r="M12" s="189">
        <v>122.3674358482062</v>
      </c>
      <c r="N12" s="189">
        <v>46.853900538136855</v>
      </c>
      <c r="O12" s="189">
        <v>30.803703964449173</v>
      </c>
    </row>
    <row r="13" spans="1:15">
      <c r="A13" s="150" t="s">
        <v>130</v>
      </c>
      <c r="B13" s="150">
        <v>6</v>
      </c>
      <c r="C13" s="150">
        <v>6</v>
      </c>
      <c r="D13" s="150" t="s">
        <v>231</v>
      </c>
      <c r="E13" s="150" t="s">
        <v>231</v>
      </c>
      <c r="F13" s="150">
        <v>63</v>
      </c>
      <c r="G13" s="150" t="s">
        <v>234</v>
      </c>
      <c r="H13" s="150" t="s">
        <v>136</v>
      </c>
      <c r="I13" s="150" t="s">
        <v>239</v>
      </c>
      <c r="J13" s="150" t="s">
        <v>240</v>
      </c>
      <c r="K13" s="150" t="s">
        <v>284</v>
      </c>
      <c r="L13" s="189">
        <v>182.57166601534686</v>
      </c>
      <c r="M13" s="189">
        <v>184.26292876786809</v>
      </c>
      <c r="N13" s="189">
        <v>36.342134325239662</v>
      </c>
      <c r="O13" s="189">
        <v>96.781888844159496</v>
      </c>
    </row>
    <row r="14" spans="1:15">
      <c r="A14" s="150" t="s">
        <v>131</v>
      </c>
      <c r="B14" s="150">
        <v>3</v>
      </c>
      <c r="C14" s="150">
        <v>3</v>
      </c>
      <c r="D14" s="150" t="s">
        <v>233</v>
      </c>
      <c r="E14" s="150" t="s">
        <v>228</v>
      </c>
      <c r="F14" s="150">
        <v>58</v>
      </c>
      <c r="G14" s="150" t="s">
        <v>234</v>
      </c>
      <c r="H14" s="150" t="s">
        <v>136</v>
      </c>
      <c r="I14" s="150" t="s">
        <v>132</v>
      </c>
      <c r="J14" s="150" t="s">
        <v>132</v>
      </c>
      <c r="K14" s="150" t="s">
        <v>284</v>
      </c>
      <c r="L14" s="190" t="s">
        <v>132</v>
      </c>
      <c r="M14" s="190" t="s">
        <v>132</v>
      </c>
      <c r="N14" s="190" t="s">
        <v>132</v>
      </c>
      <c r="O14" s="19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90" t="s">
        <v>132</v>
      </c>
      <c r="M15" s="190" t="s">
        <v>132</v>
      </c>
      <c r="N15" s="190" t="s">
        <v>132</v>
      </c>
      <c r="O15" s="19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90" t="s">
        <v>132</v>
      </c>
      <c r="M16" s="190" t="s">
        <v>132</v>
      </c>
      <c r="N16" s="190" t="s">
        <v>132</v>
      </c>
      <c r="O16" s="19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90" t="s">
        <v>132</v>
      </c>
      <c r="M17" s="190" t="s">
        <v>132</v>
      </c>
      <c r="N17" s="190" t="s">
        <v>132</v>
      </c>
      <c r="O17" s="19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90" t="s">
        <v>132</v>
      </c>
      <c r="M18" s="190" t="s">
        <v>132</v>
      </c>
      <c r="N18" s="190" t="s">
        <v>132</v>
      </c>
      <c r="O18" s="19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90" t="s">
        <v>132</v>
      </c>
      <c r="M19" s="190" t="s">
        <v>132</v>
      </c>
      <c r="N19" s="190" t="s">
        <v>132</v>
      </c>
      <c r="O19" s="19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90" t="s">
        <v>132</v>
      </c>
      <c r="M20" s="190" t="s">
        <v>132</v>
      </c>
      <c r="N20" s="190" t="s">
        <v>132</v>
      </c>
      <c r="O20" s="19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89">
        <v>462.08181960116741</v>
      </c>
      <c r="M21" s="189">
        <v>327.91033395053074</v>
      </c>
      <c r="N21" s="189">
        <v>192.46823481486621</v>
      </c>
      <c r="O21" s="189">
        <v>57.255233562838306</v>
      </c>
    </row>
    <row r="22" spans="1:15">
      <c r="A22" s="150" t="s">
        <v>133</v>
      </c>
      <c r="B22" s="150">
        <v>8</v>
      </c>
      <c r="C22" s="150">
        <v>8</v>
      </c>
      <c r="D22" s="150" t="s">
        <v>231</v>
      </c>
      <c r="E22" s="150" t="s">
        <v>231</v>
      </c>
      <c r="F22" s="150">
        <v>63</v>
      </c>
      <c r="G22" s="150" t="s">
        <v>234</v>
      </c>
      <c r="H22" s="150" t="s">
        <v>137</v>
      </c>
      <c r="I22" s="150" t="s">
        <v>239</v>
      </c>
      <c r="J22" s="151" t="s">
        <v>241</v>
      </c>
      <c r="K22" s="150" t="s">
        <v>284</v>
      </c>
      <c r="L22" s="189">
        <v>297.76547118800505</v>
      </c>
      <c r="M22" s="189">
        <v>481.21118812329797</v>
      </c>
      <c r="N22" s="189">
        <v>154.70561828407097</v>
      </c>
      <c r="O22" s="189">
        <v>205.40626596537138</v>
      </c>
    </row>
    <row r="23" spans="1:15">
      <c r="A23" s="150" t="s">
        <v>133</v>
      </c>
      <c r="B23" s="150">
        <v>8</v>
      </c>
      <c r="C23" s="150">
        <v>8</v>
      </c>
      <c r="D23" s="150" t="s">
        <v>231</v>
      </c>
      <c r="E23" s="150" t="s">
        <v>231</v>
      </c>
      <c r="F23" s="150">
        <v>63</v>
      </c>
      <c r="G23" s="150" t="s">
        <v>234</v>
      </c>
      <c r="H23" s="150" t="s">
        <v>137</v>
      </c>
      <c r="I23" s="150" t="s">
        <v>240</v>
      </c>
      <c r="J23" s="151" t="s">
        <v>241</v>
      </c>
      <c r="K23" s="150" t="s">
        <v>284</v>
      </c>
      <c r="L23" s="189">
        <v>348.79718748928724</v>
      </c>
      <c r="M23" s="189">
        <v>378.54262790461223</v>
      </c>
      <c r="N23" s="189">
        <v>137.49166611536737</v>
      </c>
      <c r="O23" s="189">
        <v>59.757472276862984</v>
      </c>
    </row>
    <row r="24" spans="1:15">
      <c r="A24" s="150" t="s">
        <v>133</v>
      </c>
      <c r="B24" s="150">
        <v>8</v>
      </c>
      <c r="C24" s="150">
        <v>8</v>
      </c>
      <c r="D24" s="150" t="s">
        <v>231</v>
      </c>
      <c r="E24" s="150" t="s">
        <v>231</v>
      </c>
      <c r="F24" s="150">
        <v>63</v>
      </c>
      <c r="G24" s="150" t="s">
        <v>234</v>
      </c>
      <c r="H24" s="150" t="s">
        <v>137</v>
      </c>
      <c r="I24" s="150" t="s">
        <v>239</v>
      </c>
      <c r="J24" s="151" t="s">
        <v>241</v>
      </c>
      <c r="K24" s="150" t="s">
        <v>284</v>
      </c>
      <c r="L24" s="189">
        <v>285.8539196575984</v>
      </c>
      <c r="M24" s="189">
        <v>261.48297094074923</v>
      </c>
      <c r="N24" s="189">
        <v>62.490947006601282</v>
      </c>
      <c r="O24" s="189">
        <v>49.99655925930599</v>
      </c>
    </row>
    <row r="25" spans="1:15">
      <c r="A25" s="150" t="s">
        <v>134</v>
      </c>
      <c r="B25" s="150">
        <v>4</v>
      </c>
      <c r="C25" s="150">
        <v>4</v>
      </c>
      <c r="D25" s="150" t="s">
        <v>231</v>
      </c>
      <c r="E25" s="150" t="s">
        <v>231</v>
      </c>
      <c r="F25" s="150">
        <v>72</v>
      </c>
      <c r="G25" s="150" t="s">
        <v>235</v>
      </c>
      <c r="H25" s="150" t="s">
        <v>136</v>
      </c>
      <c r="I25" s="150" t="s">
        <v>240</v>
      </c>
      <c r="J25" s="151" t="s">
        <v>241</v>
      </c>
      <c r="K25" s="150" t="s">
        <v>284</v>
      </c>
      <c r="L25" s="190" t="s">
        <v>132</v>
      </c>
      <c r="M25" s="190" t="s">
        <v>132</v>
      </c>
      <c r="N25" s="190" t="s">
        <v>132</v>
      </c>
      <c r="O25" s="19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91">
        <v>52.751695131666672</v>
      </c>
      <c r="M26" s="191">
        <v>56.734869123333333</v>
      </c>
      <c r="N26" s="190">
        <v>5.2751695131666674</v>
      </c>
      <c r="O26" s="190">
        <v>5.6734869123333329</v>
      </c>
    </row>
    <row r="27" spans="1:15">
      <c r="A27" s="150" t="s">
        <v>135</v>
      </c>
      <c r="B27" s="150">
        <v>6</v>
      </c>
      <c r="C27" s="150">
        <v>6</v>
      </c>
      <c r="D27" s="150" t="s">
        <v>231</v>
      </c>
      <c r="E27" s="150" t="s">
        <v>231</v>
      </c>
      <c r="F27" s="150">
        <v>79</v>
      </c>
      <c r="G27" s="150" t="s">
        <v>235</v>
      </c>
      <c r="H27" s="150" t="s">
        <v>136</v>
      </c>
      <c r="I27" s="150" t="s">
        <v>239</v>
      </c>
      <c r="J27" s="150" t="s">
        <v>240</v>
      </c>
      <c r="K27" s="150" t="s">
        <v>284</v>
      </c>
      <c r="L27" s="191">
        <v>57.914539776666665</v>
      </c>
      <c r="M27" s="191">
        <v>92.204841823333354</v>
      </c>
      <c r="N27" s="190">
        <v>5.7914539776666665</v>
      </c>
      <c r="O27" s="190">
        <v>9.220484182333335</v>
      </c>
    </row>
    <row r="28" spans="1:15">
      <c r="A28" s="150" t="s">
        <v>138</v>
      </c>
      <c r="B28" s="150">
        <v>4</v>
      </c>
      <c r="C28" s="150">
        <v>4</v>
      </c>
      <c r="D28" s="150" t="s">
        <v>231</v>
      </c>
      <c r="E28" s="150" t="s">
        <v>231</v>
      </c>
      <c r="F28" s="150">
        <v>63</v>
      </c>
      <c r="G28" s="150" t="s">
        <v>235</v>
      </c>
      <c r="H28" s="150" t="s">
        <v>137</v>
      </c>
      <c r="I28" s="150" t="s">
        <v>132</v>
      </c>
      <c r="J28" s="150" t="s">
        <v>239</v>
      </c>
      <c r="K28" s="150" t="s">
        <v>285</v>
      </c>
      <c r="L28" s="189">
        <v>549.83607256165101</v>
      </c>
      <c r="M28" s="189">
        <v>920.72478737045867</v>
      </c>
      <c r="N28" s="189">
        <v>94.971317024324946</v>
      </c>
      <c r="O28" s="189">
        <v>561.49032933446915</v>
      </c>
    </row>
    <row r="29" spans="1:15">
      <c r="A29" s="150" t="s">
        <v>138</v>
      </c>
      <c r="B29" s="150">
        <v>4</v>
      </c>
      <c r="C29" s="150">
        <v>4</v>
      </c>
      <c r="D29" s="150" t="s">
        <v>231</v>
      </c>
      <c r="E29" s="150" t="s">
        <v>231</v>
      </c>
      <c r="F29" s="150">
        <v>63</v>
      </c>
      <c r="G29" s="150" t="s">
        <v>235</v>
      </c>
      <c r="H29" s="150" t="s">
        <v>137</v>
      </c>
      <c r="I29" s="150" t="s">
        <v>132</v>
      </c>
      <c r="J29" s="150" t="s">
        <v>239</v>
      </c>
      <c r="K29" s="150" t="s">
        <v>285</v>
      </c>
      <c r="L29" s="189">
        <v>456.76303451533988</v>
      </c>
      <c r="M29" s="189">
        <v>594.2100850939039</v>
      </c>
      <c r="N29" s="189">
        <v>131.84960552923405</v>
      </c>
      <c r="O29" s="189">
        <v>127.63549945858277</v>
      </c>
    </row>
    <row r="30" spans="1:15">
      <c r="A30" s="150" t="s">
        <v>139</v>
      </c>
      <c r="B30" s="150">
        <v>3</v>
      </c>
      <c r="C30" s="150">
        <v>3</v>
      </c>
      <c r="D30" s="150" t="s">
        <v>233</v>
      </c>
      <c r="E30" s="150" t="s">
        <v>228</v>
      </c>
      <c r="F30" s="150">
        <v>42</v>
      </c>
      <c r="G30" s="150" t="s">
        <v>234</v>
      </c>
      <c r="H30" s="150" t="s">
        <v>136</v>
      </c>
      <c r="I30" s="150" t="s">
        <v>132</v>
      </c>
      <c r="J30" s="150" t="s">
        <v>132</v>
      </c>
      <c r="K30" s="150" t="s">
        <v>283</v>
      </c>
      <c r="L30" s="190" t="s">
        <v>132</v>
      </c>
      <c r="M30" s="190" t="s">
        <v>132</v>
      </c>
      <c r="N30" s="190" t="s">
        <v>132</v>
      </c>
      <c r="O30" s="19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90" t="s">
        <v>132</v>
      </c>
      <c r="M31" s="190" t="s">
        <v>132</v>
      </c>
      <c r="N31" s="190" t="s">
        <v>132</v>
      </c>
      <c r="O31" s="19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90" t="s">
        <v>132</v>
      </c>
      <c r="M32" s="190" t="s">
        <v>132</v>
      </c>
      <c r="N32" s="190" t="s">
        <v>132</v>
      </c>
      <c r="O32" s="19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90" t="s">
        <v>132</v>
      </c>
      <c r="M33" s="190" t="s">
        <v>132</v>
      </c>
      <c r="N33" s="190" t="s">
        <v>132</v>
      </c>
      <c r="O33" s="19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90" t="s">
        <v>132</v>
      </c>
      <c r="M34" s="190" t="s">
        <v>132</v>
      </c>
      <c r="N34" s="190" t="s">
        <v>132</v>
      </c>
      <c r="O34" s="19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90" t="s">
        <v>132</v>
      </c>
      <c r="M35" s="190" t="s">
        <v>132</v>
      </c>
      <c r="N35" s="190" t="s">
        <v>132</v>
      </c>
      <c r="O35" s="19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90" t="s">
        <v>132</v>
      </c>
      <c r="M36" s="190" t="s">
        <v>132</v>
      </c>
      <c r="N36" s="190" t="s">
        <v>132</v>
      </c>
      <c r="O36" s="19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90" t="s">
        <v>132</v>
      </c>
      <c r="M37" s="190" t="s">
        <v>132</v>
      </c>
      <c r="N37" s="190" t="s">
        <v>132</v>
      </c>
      <c r="O37" s="19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90" t="s">
        <v>132</v>
      </c>
      <c r="M38" s="190" t="s">
        <v>132</v>
      </c>
      <c r="N38" s="190" t="s">
        <v>132</v>
      </c>
      <c r="O38" s="19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90" t="s">
        <v>132</v>
      </c>
      <c r="M39" s="190" t="s">
        <v>132</v>
      </c>
      <c r="N39" s="190" t="s">
        <v>132</v>
      </c>
      <c r="O39" s="19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90" t="s">
        <v>132</v>
      </c>
      <c r="M40" s="190" t="s">
        <v>132</v>
      </c>
      <c r="N40" s="190" t="s">
        <v>132</v>
      </c>
      <c r="O40" s="19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90" t="s">
        <v>132</v>
      </c>
      <c r="M41" s="190" t="s">
        <v>132</v>
      </c>
      <c r="N41" s="190" t="s">
        <v>132</v>
      </c>
      <c r="O41" s="19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90" t="s">
        <v>132</v>
      </c>
      <c r="M42" s="190" t="s">
        <v>132</v>
      </c>
      <c r="N42" s="190" t="s">
        <v>132</v>
      </c>
      <c r="O42" s="19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90" t="s">
        <v>132</v>
      </c>
      <c r="M43" s="190" t="s">
        <v>132</v>
      </c>
      <c r="N43" s="190" t="s">
        <v>132</v>
      </c>
      <c r="O43" s="19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90" t="s">
        <v>132</v>
      </c>
      <c r="M44" s="190" t="s">
        <v>132</v>
      </c>
      <c r="N44" s="190" t="s">
        <v>132</v>
      </c>
      <c r="O44" s="19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90" t="s">
        <v>132</v>
      </c>
      <c r="M45" s="190" t="s">
        <v>132</v>
      </c>
      <c r="N45" s="190" t="s">
        <v>132</v>
      </c>
      <c r="O45" s="19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90" t="s">
        <v>132</v>
      </c>
      <c r="M46" s="190" t="s">
        <v>132</v>
      </c>
      <c r="N46" s="190" t="s">
        <v>132</v>
      </c>
      <c r="O46" s="19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90" t="s">
        <v>132</v>
      </c>
      <c r="M47" s="190" t="s">
        <v>132</v>
      </c>
      <c r="N47" s="190" t="s">
        <v>132</v>
      </c>
      <c r="O47" s="19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90" t="s">
        <v>132</v>
      </c>
      <c r="M48" s="190" t="s">
        <v>132</v>
      </c>
      <c r="N48" s="190" t="s">
        <v>132</v>
      </c>
      <c r="O48" s="19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90" t="s">
        <v>132</v>
      </c>
      <c r="M49" s="190" t="s">
        <v>132</v>
      </c>
      <c r="N49" s="190" t="s">
        <v>132</v>
      </c>
      <c r="O49" s="19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90" t="s">
        <v>132</v>
      </c>
      <c r="M50" s="190" t="s">
        <v>132</v>
      </c>
      <c r="N50" s="190" t="s">
        <v>132</v>
      </c>
      <c r="O50" s="19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90" t="s">
        <v>132</v>
      </c>
      <c r="M51" s="190" t="s">
        <v>132</v>
      </c>
      <c r="N51" s="190" t="s">
        <v>132</v>
      </c>
      <c r="O51" s="19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90" t="s">
        <v>132</v>
      </c>
      <c r="M52" s="190" t="s">
        <v>132</v>
      </c>
      <c r="N52" s="190" t="s">
        <v>132</v>
      </c>
      <c r="O52" s="19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90" t="s">
        <v>132</v>
      </c>
      <c r="M53" s="190" t="s">
        <v>132</v>
      </c>
      <c r="N53" s="190" t="s">
        <v>132</v>
      </c>
      <c r="O53" s="19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90" t="s">
        <v>132</v>
      </c>
      <c r="M54" s="190" t="s">
        <v>132</v>
      </c>
      <c r="N54" s="190" t="s">
        <v>132</v>
      </c>
      <c r="O54" s="19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90" t="s">
        <v>132</v>
      </c>
      <c r="M55" s="190" t="s">
        <v>132</v>
      </c>
      <c r="N55" s="190" t="s">
        <v>132</v>
      </c>
      <c r="O55" s="19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90" t="s">
        <v>132</v>
      </c>
      <c r="M56" s="190" t="s">
        <v>132</v>
      </c>
      <c r="N56" s="190" t="s">
        <v>132</v>
      </c>
      <c r="O56" s="19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90" t="s">
        <v>132</v>
      </c>
      <c r="M57" s="190" t="s">
        <v>132</v>
      </c>
      <c r="N57" s="190" t="s">
        <v>132</v>
      </c>
      <c r="O57" s="19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90" t="s">
        <v>132</v>
      </c>
      <c r="M58" s="190" t="s">
        <v>132</v>
      </c>
      <c r="N58" s="190" t="s">
        <v>132</v>
      </c>
      <c r="O58" s="19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90" t="s">
        <v>132</v>
      </c>
      <c r="M59" s="190" t="s">
        <v>132</v>
      </c>
      <c r="N59" s="190" t="s">
        <v>132</v>
      </c>
      <c r="O59" s="19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90" t="s">
        <v>132</v>
      </c>
      <c r="M60" s="190" t="s">
        <v>132</v>
      </c>
      <c r="N60" s="190" t="s">
        <v>132</v>
      </c>
      <c r="O60" s="19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90" t="s">
        <v>132</v>
      </c>
      <c r="M61" s="190" t="s">
        <v>132</v>
      </c>
      <c r="N61" s="190" t="s">
        <v>132</v>
      </c>
      <c r="O61" s="19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90" t="s">
        <v>132</v>
      </c>
      <c r="M62" s="190" t="s">
        <v>132</v>
      </c>
      <c r="N62" s="190" t="s">
        <v>132</v>
      </c>
      <c r="O62" s="19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90" t="s">
        <v>132</v>
      </c>
      <c r="M63" s="190" t="s">
        <v>132</v>
      </c>
      <c r="N63" s="190" t="s">
        <v>132</v>
      </c>
      <c r="O63" s="19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90" t="s">
        <v>132</v>
      </c>
      <c r="M64" s="190" t="s">
        <v>132</v>
      </c>
      <c r="N64" s="190" t="s">
        <v>132</v>
      </c>
      <c r="O64" s="19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90" t="s">
        <v>132</v>
      </c>
      <c r="M65" s="190" t="s">
        <v>132</v>
      </c>
      <c r="N65" s="190" t="s">
        <v>132</v>
      </c>
      <c r="O65" s="19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90" t="s">
        <v>132</v>
      </c>
      <c r="M66" s="190" t="s">
        <v>132</v>
      </c>
      <c r="N66" s="190" t="s">
        <v>132</v>
      </c>
      <c r="O66" s="19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90" t="s">
        <v>132</v>
      </c>
      <c r="M67" s="190" t="s">
        <v>132</v>
      </c>
      <c r="N67" s="190" t="s">
        <v>132</v>
      </c>
      <c r="O67" s="19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90" t="s">
        <v>132</v>
      </c>
      <c r="M68" s="190" t="s">
        <v>132</v>
      </c>
      <c r="N68" s="190" t="s">
        <v>132</v>
      </c>
      <c r="O68" s="19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89">
        <v>866</v>
      </c>
      <c r="M69" s="189">
        <v>608</v>
      </c>
      <c r="N69" s="189">
        <v>257.44902408049637</v>
      </c>
      <c r="O69" s="189">
        <v>348.38197427536346</v>
      </c>
    </row>
    <row r="70" spans="1:15">
      <c r="A70" s="150" t="s">
        <v>146</v>
      </c>
      <c r="B70" s="150">
        <v>5</v>
      </c>
      <c r="C70" s="150">
        <v>5</v>
      </c>
      <c r="D70" s="150" t="s">
        <v>231</v>
      </c>
      <c r="E70" s="150" t="s">
        <v>231</v>
      </c>
      <c r="F70" s="150">
        <v>63</v>
      </c>
      <c r="G70" s="150" t="s">
        <v>234</v>
      </c>
      <c r="H70" s="150" t="s">
        <v>136</v>
      </c>
      <c r="I70" s="151" t="s">
        <v>239</v>
      </c>
      <c r="J70" s="150" t="s">
        <v>240</v>
      </c>
      <c r="K70" s="150" t="s">
        <v>283</v>
      </c>
      <c r="L70" s="189">
        <v>74.026051478792695</v>
      </c>
      <c r="M70" s="189">
        <v>335.46130898780405</v>
      </c>
      <c r="N70" s="189">
        <v>12.81492799148908</v>
      </c>
      <c r="O70" s="189">
        <v>606.37019682247649</v>
      </c>
    </row>
    <row r="71" spans="1:15">
      <c r="A71" s="150" t="s">
        <v>146</v>
      </c>
      <c r="B71" s="150">
        <v>5</v>
      </c>
      <c r="C71" s="150">
        <v>5</v>
      </c>
      <c r="D71" s="150" t="s">
        <v>231</v>
      </c>
      <c r="E71" s="150" t="s">
        <v>231</v>
      </c>
      <c r="F71" s="150">
        <v>63</v>
      </c>
      <c r="G71" s="150" t="s">
        <v>234</v>
      </c>
      <c r="H71" s="150" t="s">
        <v>136</v>
      </c>
      <c r="I71" s="151" t="s">
        <v>239</v>
      </c>
      <c r="J71" s="150" t="s">
        <v>240</v>
      </c>
      <c r="K71" s="150" t="s">
        <v>283</v>
      </c>
      <c r="L71" s="189">
        <v>50.212223041084641</v>
      </c>
      <c r="M71" s="189">
        <v>52.798535336917894</v>
      </c>
      <c r="N71" s="189">
        <v>9.5103156968608182</v>
      </c>
      <c r="O71" s="189">
        <v>4.1012374337832176</v>
      </c>
    </row>
    <row r="72" spans="1:15">
      <c r="A72" s="150" t="s">
        <v>146</v>
      </c>
      <c r="B72" s="150">
        <v>5</v>
      </c>
      <c r="C72" s="150">
        <v>5</v>
      </c>
      <c r="D72" s="150" t="s">
        <v>231</v>
      </c>
      <c r="E72" s="150" t="s">
        <v>231</v>
      </c>
      <c r="F72" s="150">
        <v>63</v>
      </c>
      <c r="G72" s="150" t="s">
        <v>234</v>
      </c>
      <c r="H72" s="150" t="s">
        <v>136</v>
      </c>
      <c r="I72" s="151" t="s">
        <v>239</v>
      </c>
      <c r="J72" s="150" t="s">
        <v>240</v>
      </c>
      <c r="K72" s="150" t="s">
        <v>283</v>
      </c>
      <c r="L72" s="189">
        <v>67.53050910730235</v>
      </c>
      <c r="M72" s="189">
        <v>48.889078011535695</v>
      </c>
      <c r="N72" s="189">
        <v>23.654894517325381</v>
      </c>
      <c r="O72" s="189">
        <v>3.6095086066186393</v>
      </c>
    </row>
    <row r="73" spans="1:15">
      <c r="A73" s="150" t="s">
        <v>146</v>
      </c>
      <c r="B73" s="150">
        <v>5</v>
      </c>
      <c r="C73" s="150">
        <v>5</v>
      </c>
      <c r="D73" s="150" t="s">
        <v>231</v>
      </c>
      <c r="E73" s="150" t="s">
        <v>231</v>
      </c>
      <c r="F73" s="150">
        <v>63</v>
      </c>
      <c r="G73" s="150" t="s">
        <v>234</v>
      </c>
      <c r="H73" s="150" t="s">
        <v>136</v>
      </c>
      <c r="I73" s="151" t="s">
        <v>239</v>
      </c>
      <c r="J73" s="150" t="s">
        <v>240</v>
      </c>
      <c r="K73" s="150" t="s">
        <v>283</v>
      </c>
      <c r="L73" s="189">
        <v>58.450738423221672</v>
      </c>
      <c r="M73" s="189">
        <v>69.637240231199215</v>
      </c>
      <c r="N73" s="189">
        <v>6.2381711383549847</v>
      </c>
      <c r="O73" s="189">
        <v>42.915824208100268</v>
      </c>
    </row>
    <row r="74" spans="1:15">
      <c r="A74" s="150" t="s">
        <v>146</v>
      </c>
      <c r="B74" s="150">
        <v>5</v>
      </c>
      <c r="C74" s="150">
        <v>5</v>
      </c>
      <c r="D74" s="150" t="s">
        <v>231</v>
      </c>
      <c r="E74" s="150" t="s">
        <v>231</v>
      </c>
      <c r="F74" s="150">
        <v>63</v>
      </c>
      <c r="G74" s="150" t="s">
        <v>234</v>
      </c>
      <c r="H74" s="150" t="s">
        <v>136</v>
      </c>
      <c r="I74" s="151" t="s">
        <v>240</v>
      </c>
      <c r="J74" s="151" t="s">
        <v>241</v>
      </c>
      <c r="K74" s="150" t="s">
        <v>283</v>
      </c>
      <c r="L74" s="189">
        <v>618</v>
      </c>
      <c r="M74" s="189">
        <v>1636</v>
      </c>
      <c r="N74" s="189">
        <v>95.760116958992896</v>
      </c>
      <c r="O74" s="189">
        <v>861.99187931209656</v>
      </c>
    </row>
    <row r="75" spans="1:15">
      <c r="A75" s="150" t="s">
        <v>146</v>
      </c>
      <c r="B75" s="150">
        <v>5</v>
      </c>
      <c r="C75" s="150">
        <v>5</v>
      </c>
      <c r="D75" s="150" t="s">
        <v>231</v>
      </c>
      <c r="E75" s="150" t="s">
        <v>231</v>
      </c>
      <c r="F75" s="150">
        <v>63</v>
      </c>
      <c r="G75" s="150" t="s">
        <v>234</v>
      </c>
      <c r="H75" s="150" t="s">
        <v>136</v>
      </c>
      <c r="I75" s="151" t="s">
        <v>239</v>
      </c>
      <c r="J75" s="151" t="s">
        <v>241</v>
      </c>
      <c r="K75" s="150" t="s">
        <v>283</v>
      </c>
      <c r="L75" s="189">
        <v>67.81062774072528</v>
      </c>
      <c r="M75" s="189">
        <v>58.483955082946395</v>
      </c>
      <c r="N75" s="189">
        <v>28.085952925880239</v>
      </c>
      <c r="O75" s="189">
        <v>11.783575282776507</v>
      </c>
    </row>
    <row r="76" spans="1:15">
      <c r="A76" s="150" t="s">
        <v>146</v>
      </c>
      <c r="B76" s="150">
        <v>5</v>
      </c>
      <c r="C76" s="150">
        <v>5</v>
      </c>
      <c r="D76" s="150" t="s">
        <v>231</v>
      </c>
      <c r="E76" s="150" t="s">
        <v>231</v>
      </c>
      <c r="F76" s="150">
        <v>63</v>
      </c>
      <c r="G76" s="150" t="s">
        <v>234</v>
      </c>
      <c r="H76" s="150" t="s">
        <v>136</v>
      </c>
      <c r="I76" s="151" t="s">
        <v>239</v>
      </c>
      <c r="J76" s="151" t="s">
        <v>241</v>
      </c>
      <c r="K76" s="150" t="s">
        <v>283</v>
      </c>
      <c r="L76" s="189">
        <v>63.640678819647405</v>
      </c>
      <c r="M76" s="189">
        <v>59.662858245298615</v>
      </c>
      <c r="N76" s="189">
        <v>24.018221719462275</v>
      </c>
      <c r="O76" s="189">
        <v>22.419702485565061</v>
      </c>
    </row>
    <row r="77" spans="1:15">
      <c r="A77" s="150" t="s">
        <v>146</v>
      </c>
      <c r="B77" s="150">
        <v>5</v>
      </c>
      <c r="C77" s="150">
        <v>5</v>
      </c>
      <c r="D77" s="150" t="s">
        <v>231</v>
      </c>
      <c r="E77" s="150" t="s">
        <v>231</v>
      </c>
      <c r="F77" s="150">
        <v>63</v>
      </c>
      <c r="G77" s="150" t="s">
        <v>234</v>
      </c>
      <c r="H77" s="150" t="s">
        <v>136</v>
      </c>
      <c r="I77" s="151" t="s">
        <v>239</v>
      </c>
      <c r="J77" s="151" t="s">
        <v>241</v>
      </c>
      <c r="K77" s="150" t="s">
        <v>283</v>
      </c>
      <c r="L77" s="189">
        <v>45.771346798917918</v>
      </c>
      <c r="M77" s="189">
        <v>42.986460206213415</v>
      </c>
      <c r="N77" s="189">
        <v>7.097129423596539</v>
      </c>
      <c r="O77" s="189">
        <v>2.1426576795355246</v>
      </c>
    </row>
    <row r="78" spans="1:15">
      <c r="A78" s="150" t="s">
        <v>146</v>
      </c>
      <c r="B78" s="150">
        <v>5</v>
      </c>
      <c r="C78" s="150">
        <v>5</v>
      </c>
      <c r="D78" s="150" t="s">
        <v>231</v>
      </c>
      <c r="E78" s="150" t="s">
        <v>231</v>
      </c>
      <c r="F78" s="150">
        <v>63</v>
      </c>
      <c r="G78" s="150" t="s">
        <v>234</v>
      </c>
      <c r="H78" s="150" t="s">
        <v>136</v>
      </c>
      <c r="I78" s="151" t="s">
        <v>239</v>
      </c>
      <c r="J78" s="151" t="s">
        <v>241</v>
      </c>
      <c r="K78" s="150" t="s">
        <v>283</v>
      </c>
      <c r="L78" s="189">
        <v>50.457427078923928</v>
      </c>
      <c r="M78" s="189">
        <v>47.63530738220318</v>
      </c>
      <c r="N78" s="189">
        <v>11.069515766069319</v>
      </c>
      <c r="O78" s="189">
        <v>4.6617483159108959</v>
      </c>
    </row>
    <row r="79" spans="1:15">
      <c r="A79" s="150" t="s">
        <v>147</v>
      </c>
      <c r="B79" s="150">
        <v>5</v>
      </c>
      <c r="C79" s="150">
        <v>5</v>
      </c>
      <c r="D79" s="150" t="s">
        <v>231</v>
      </c>
      <c r="E79" s="150" t="s">
        <v>231</v>
      </c>
      <c r="F79" s="150">
        <v>63</v>
      </c>
      <c r="G79" s="150" t="s">
        <v>234</v>
      </c>
      <c r="H79" s="150" t="s">
        <v>136</v>
      </c>
      <c r="I79" s="151" t="s">
        <v>240</v>
      </c>
      <c r="J79" s="150" t="s">
        <v>240</v>
      </c>
      <c r="K79" s="150" t="s">
        <v>283</v>
      </c>
      <c r="L79" s="189">
        <v>268</v>
      </c>
      <c r="M79" s="189">
        <v>191.01615297917562</v>
      </c>
      <c r="N79" s="189">
        <v>38.340579025361627</v>
      </c>
      <c r="O79" s="189">
        <v>33.830596087158725</v>
      </c>
    </row>
    <row r="80" spans="1:15">
      <c r="A80" s="150" t="s">
        <v>147</v>
      </c>
      <c r="B80" s="150">
        <v>5</v>
      </c>
      <c r="C80" s="150">
        <v>5</v>
      </c>
      <c r="D80" s="150" t="s">
        <v>231</v>
      </c>
      <c r="E80" s="150" t="s">
        <v>231</v>
      </c>
      <c r="F80" s="150">
        <v>63</v>
      </c>
      <c r="G80" s="150" t="s">
        <v>234</v>
      </c>
      <c r="H80" s="150" t="s">
        <v>136</v>
      </c>
      <c r="I80" s="151" t="s">
        <v>240</v>
      </c>
      <c r="J80" s="151" t="s">
        <v>241</v>
      </c>
      <c r="K80" s="150" t="s">
        <v>283</v>
      </c>
      <c r="L80" s="189">
        <v>266</v>
      </c>
      <c r="M80" s="189">
        <v>229.84760476987572</v>
      </c>
      <c r="N80" s="189">
        <v>56.833088953531288</v>
      </c>
      <c r="O80" s="189">
        <v>37.05291787123015</v>
      </c>
    </row>
    <row r="81" spans="1:15">
      <c r="A81" s="150" t="s">
        <v>147</v>
      </c>
      <c r="B81" s="150">
        <v>5</v>
      </c>
      <c r="C81" s="150">
        <v>5</v>
      </c>
      <c r="D81" s="150" t="s">
        <v>231</v>
      </c>
      <c r="E81" s="150" t="s">
        <v>231</v>
      </c>
      <c r="F81" s="150">
        <v>63</v>
      </c>
      <c r="G81" s="150" t="s">
        <v>234</v>
      </c>
      <c r="H81" s="150" t="s">
        <v>136</v>
      </c>
      <c r="I81" s="151" t="s">
        <v>240</v>
      </c>
      <c r="J81" s="151" t="s">
        <v>241</v>
      </c>
      <c r="K81" s="150" t="s">
        <v>283</v>
      </c>
      <c r="L81" s="189">
        <v>356</v>
      </c>
      <c r="M81" s="189">
        <v>308</v>
      </c>
      <c r="N81" s="189">
        <v>46.151923036857305</v>
      </c>
      <c r="O81" s="189">
        <v>16.431676725154983</v>
      </c>
    </row>
    <row r="82" spans="1:15">
      <c r="A82" s="150" t="s">
        <v>147</v>
      </c>
      <c r="B82" s="150">
        <v>5</v>
      </c>
      <c r="C82" s="150">
        <v>5</v>
      </c>
      <c r="D82" s="150" t="s">
        <v>231</v>
      </c>
      <c r="E82" s="150" t="s">
        <v>231</v>
      </c>
      <c r="F82" s="150">
        <v>63</v>
      </c>
      <c r="G82" s="150" t="s">
        <v>234</v>
      </c>
      <c r="H82" s="150" t="s">
        <v>136</v>
      </c>
      <c r="I82" s="151" t="s">
        <v>240</v>
      </c>
      <c r="J82" s="151" t="s">
        <v>241</v>
      </c>
      <c r="K82" s="150" t="s">
        <v>283</v>
      </c>
      <c r="L82" s="189">
        <v>368</v>
      </c>
      <c r="M82" s="189">
        <v>328</v>
      </c>
      <c r="N82" s="189">
        <v>85.556998544829753</v>
      </c>
      <c r="O82" s="189">
        <v>49.699094559156713</v>
      </c>
    </row>
    <row r="83" spans="1:15">
      <c r="A83" s="150" t="s">
        <v>147</v>
      </c>
      <c r="B83" s="150">
        <v>5</v>
      </c>
      <c r="C83" s="150">
        <v>5</v>
      </c>
      <c r="D83" s="150" t="s">
        <v>231</v>
      </c>
      <c r="E83" s="150" t="s">
        <v>231</v>
      </c>
      <c r="F83" s="150">
        <v>63</v>
      </c>
      <c r="G83" s="150" t="s">
        <v>234</v>
      </c>
      <c r="H83" s="150" t="s">
        <v>136</v>
      </c>
      <c r="I83" s="151" t="s">
        <v>240</v>
      </c>
      <c r="J83" s="151" t="s">
        <v>241</v>
      </c>
      <c r="K83" s="150" t="s">
        <v>283</v>
      </c>
      <c r="L83" s="189">
        <v>374</v>
      </c>
      <c r="M83" s="189">
        <v>388</v>
      </c>
      <c r="N83" s="189">
        <v>85.029406677925252</v>
      </c>
      <c r="O83" s="189">
        <v>49.193495504995376</v>
      </c>
    </row>
    <row r="84" spans="1:15">
      <c r="A84" s="150" t="s">
        <v>147</v>
      </c>
      <c r="B84" s="150">
        <v>5</v>
      </c>
      <c r="C84" s="150">
        <v>5</v>
      </c>
      <c r="D84" s="150" t="s">
        <v>231</v>
      </c>
      <c r="E84" s="150" t="s">
        <v>231</v>
      </c>
      <c r="F84" s="150">
        <v>63</v>
      </c>
      <c r="G84" s="150" t="s">
        <v>234</v>
      </c>
      <c r="H84" s="150" t="s">
        <v>136</v>
      </c>
      <c r="I84" s="151" t="s">
        <v>239</v>
      </c>
      <c r="J84" s="150" t="s">
        <v>240</v>
      </c>
      <c r="K84" s="150" t="s">
        <v>283</v>
      </c>
      <c r="L84" s="189">
        <v>118.9544542143171</v>
      </c>
      <c r="M84" s="189">
        <v>103.01457678858465</v>
      </c>
      <c r="N84" s="189">
        <v>42.390062430482445</v>
      </c>
      <c r="O84" s="189">
        <v>14.902574214379559</v>
      </c>
    </row>
    <row r="85" spans="1:15">
      <c r="A85" s="150" t="s">
        <v>147</v>
      </c>
      <c r="B85" s="150">
        <v>5</v>
      </c>
      <c r="C85" s="150">
        <v>5</v>
      </c>
      <c r="D85" s="150" t="s">
        <v>231</v>
      </c>
      <c r="E85" s="150" t="s">
        <v>231</v>
      </c>
      <c r="F85" s="150">
        <v>63</v>
      </c>
      <c r="G85" s="150" t="s">
        <v>234</v>
      </c>
      <c r="H85" s="150" t="s">
        <v>136</v>
      </c>
      <c r="I85" s="151" t="s">
        <v>239</v>
      </c>
      <c r="J85" s="151" t="s">
        <v>241</v>
      </c>
      <c r="K85" s="150" t="s">
        <v>283</v>
      </c>
      <c r="L85" s="189">
        <v>188.65776951706133</v>
      </c>
      <c r="M85" s="189">
        <v>131.86771358263056</v>
      </c>
      <c r="N85" s="189">
        <v>77.419758740799594</v>
      </c>
      <c r="O85" s="189">
        <v>39.089459349366443</v>
      </c>
    </row>
    <row r="86" spans="1:15">
      <c r="A86" s="150" t="s">
        <v>147</v>
      </c>
      <c r="B86" s="150">
        <v>5</v>
      </c>
      <c r="C86" s="150">
        <v>5</v>
      </c>
      <c r="D86" s="150" t="s">
        <v>231</v>
      </c>
      <c r="E86" s="150" t="s">
        <v>231</v>
      </c>
      <c r="F86" s="150">
        <v>63</v>
      </c>
      <c r="G86" s="150" t="s">
        <v>234</v>
      </c>
      <c r="H86" s="150" t="s">
        <v>136</v>
      </c>
      <c r="I86" s="151" t="s">
        <v>239</v>
      </c>
      <c r="J86" s="151" t="s">
        <v>241</v>
      </c>
      <c r="K86" s="150" t="s">
        <v>283</v>
      </c>
      <c r="L86" s="189">
        <v>133.1708883858411</v>
      </c>
      <c r="M86" s="189">
        <v>113.323241102054</v>
      </c>
      <c r="N86" s="189">
        <v>47.670754375931644</v>
      </c>
      <c r="O86" s="189">
        <v>18.0489769570795</v>
      </c>
    </row>
    <row r="87" spans="1:15">
      <c r="A87" s="150" t="s">
        <v>147</v>
      </c>
      <c r="B87" s="150">
        <v>5</v>
      </c>
      <c r="C87" s="150">
        <v>5</v>
      </c>
      <c r="D87" s="150" t="s">
        <v>231</v>
      </c>
      <c r="E87" s="150" t="s">
        <v>231</v>
      </c>
      <c r="F87" s="150">
        <v>63</v>
      </c>
      <c r="G87" s="150" t="s">
        <v>234</v>
      </c>
      <c r="H87" s="150" t="s">
        <v>136</v>
      </c>
      <c r="I87" s="151" t="s">
        <v>239</v>
      </c>
      <c r="J87" s="151" t="s">
        <v>241</v>
      </c>
      <c r="K87" s="150" t="s">
        <v>283</v>
      </c>
      <c r="L87" s="189">
        <v>126.80669538094017</v>
      </c>
      <c r="M87" s="189">
        <v>152.07837032906727</v>
      </c>
      <c r="N87" s="189">
        <v>6.1150987832839245</v>
      </c>
      <c r="O87" s="189">
        <v>57.019897072627479</v>
      </c>
    </row>
    <row r="88" spans="1:15">
      <c r="A88" s="150" t="s">
        <v>147</v>
      </c>
      <c r="B88" s="150">
        <v>5</v>
      </c>
      <c r="C88" s="150">
        <v>5</v>
      </c>
      <c r="D88" s="150" t="s">
        <v>231</v>
      </c>
      <c r="E88" s="150" t="s">
        <v>231</v>
      </c>
      <c r="F88" s="150">
        <v>63</v>
      </c>
      <c r="G88" s="150" t="s">
        <v>234</v>
      </c>
      <c r="H88" s="150" t="s">
        <v>136</v>
      </c>
      <c r="I88" s="151" t="s">
        <v>239</v>
      </c>
      <c r="J88" s="151" t="s">
        <v>241</v>
      </c>
      <c r="K88" s="150" t="s">
        <v>283</v>
      </c>
      <c r="L88" s="189">
        <v>188.00006378673859</v>
      </c>
      <c r="M88" s="189">
        <v>184.04067648586809</v>
      </c>
      <c r="N88" s="189">
        <v>26.03160176509822</v>
      </c>
      <c r="O88" s="189">
        <v>24.774872318411379</v>
      </c>
    </row>
    <row r="89" spans="1:15">
      <c r="A89" s="150" t="s">
        <v>148</v>
      </c>
      <c r="B89" s="150">
        <v>5</v>
      </c>
      <c r="C89" s="150">
        <v>5</v>
      </c>
      <c r="D89" s="150" t="s">
        <v>231</v>
      </c>
      <c r="E89" s="150" t="s">
        <v>231</v>
      </c>
      <c r="F89" s="150">
        <v>56</v>
      </c>
      <c r="G89" s="150" t="s">
        <v>234</v>
      </c>
      <c r="H89" s="150" t="s">
        <v>136</v>
      </c>
      <c r="I89" s="151" t="s">
        <v>239</v>
      </c>
      <c r="J89" s="151" t="s">
        <v>241</v>
      </c>
      <c r="K89" s="150" t="s">
        <v>283</v>
      </c>
      <c r="L89" s="189">
        <v>93.317734566161931</v>
      </c>
      <c r="M89" s="189">
        <v>94.362842081956543</v>
      </c>
      <c r="N89" s="189">
        <v>17.308639104248023</v>
      </c>
      <c r="O89" s="189">
        <v>18.692353040558974</v>
      </c>
    </row>
    <row r="90" spans="1:15">
      <c r="A90" s="150" t="s">
        <v>148</v>
      </c>
      <c r="B90" s="150">
        <v>5</v>
      </c>
      <c r="C90" s="150">
        <v>5</v>
      </c>
      <c r="D90" s="150" t="s">
        <v>231</v>
      </c>
      <c r="E90" s="150" t="s">
        <v>231</v>
      </c>
      <c r="F90" s="150">
        <v>56</v>
      </c>
      <c r="G90" s="150" t="s">
        <v>234</v>
      </c>
      <c r="H90" s="150" t="s">
        <v>136</v>
      </c>
      <c r="I90" s="151" t="s">
        <v>239</v>
      </c>
      <c r="J90" s="151" t="s">
        <v>241</v>
      </c>
      <c r="K90" s="150" t="s">
        <v>283</v>
      </c>
      <c r="L90" s="189">
        <v>89.692751296254741</v>
      </c>
      <c r="M90" s="189">
        <v>135.38311460170664</v>
      </c>
      <c r="N90" s="189">
        <v>7.360771615414011</v>
      </c>
      <c r="O90" s="189">
        <v>99.084357281527531</v>
      </c>
    </row>
    <row r="91" spans="1:15">
      <c r="A91" s="150" t="s">
        <v>148</v>
      </c>
      <c r="B91" s="150">
        <v>5</v>
      </c>
      <c r="C91" s="150">
        <v>5</v>
      </c>
      <c r="D91" s="150" t="s">
        <v>231</v>
      </c>
      <c r="E91" s="150" t="s">
        <v>231</v>
      </c>
      <c r="F91" s="150">
        <v>56</v>
      </c>
      <c r="G91" s="150" t="s">
        <v>234</v>
      </c>
      <c r="H91" s="150" t="s">
        <v>136</v>
      </c>
      <c r="I91" s="151" t="s">
        <v>239</v>
      </c>
      <c r="J91" s="151" t="s">
        <v>241</v>
      </c>
      <c r="K91" s="150" t="s">
        <v>283</v>
      </c>
      <c r="L91" s="189">
        <v>111.16351145434646</v>
      </c>
      <c r="M91" s="189">
        <v>83.583335259974362</v>
      </c>
      <c r="N91" s="189">
        <v>13.448214780405168</v>
      </c>
      <c r="O91" s="189">
        <v>21.195239267854362</v>
      </c>
    </row>
    <row r="92" spans="1:15">
      <c r="A92" s="150" t="s">
        <v>148</v>
      </c>
      <c r="B92" s="150">
        <v>5</v>
      </c>
      <c r="C92" s="150">
        <v>5</v>
      </c>
      <c r="D92" s="150" t="s">
        <v>231</v>
      </c>
      <c r="E92" s="150" t="s">
        <v>231</v>
      </c>
      <c r="F92" s="150">
        <v>56</v>
      </c>
      <c r="G92" s="150" t="s">
        <v>234</v>
      </c>
      <c r="H92" s="150" t="s">
        <v>136</v>
      </c>
      <c r="I92" s="151" t="s">
        <v>239</v>
      </c>
      <c r="J92" s="151" t="s">
        <v>241</v>
      </c>
      <c r="K92" s="150" t="s">
        <v>283</v>
      </c>
      <c r="L92" s="189">
        <v>94.664735212257028</v>
      </c>
      <c r="M92" s="189">
        <v>285.00070622584428</v>
      </c>
      <c r="N92" s="189">
        <v>8.0357382986581811</v>
      </c>
      <c r="O92" s="189">
        <v>368.32111299858121</v>
      </c>
    </row>
    <row r="93" spans="1:15">
      <c r="A93" s="150" t="s">
        <v>148</v>
      </c>
      <c r="B93" s="150">
        <v>5</v>
      </c>
      <c r="C93" s="150">
        <v>5</v>
      </c>
      <c r="D93" s="150" t="s">
        <v>231</v>
      </c>
      <c r="E93" s="150" t="s">
        <v>231</v>
      </c>
      <c r="F93" s="150">
        <v>56</v>
      </c>
      <c r="G93" s="150" t="s">
        <v>234</v>
      </c>
      <c r="H93" s="150" t="s">
        <v>136</v>
      </c>
      <c r="I93" s="151" t="s">
        <v>239</v>
      </c>
      <c r="J93" s="151" t="s">
        <v>241</v>
      </c>
      <c r="K93" s="150" t="s">
        <v>283</v>
      </c>
      <c r="L93" s="189">
        <v>106.7078378704676</v>
      </c>
      <c r="M93" s="189">
        <v>124.37813705452993</v>
      </c>
      <c r="N93" s="189">
        <v>9.7575141362334588</v>
      </c>
      <c r="O93" s="189">
        <v>59.421042273646769</v>
      </c>
    </row>
    <row r="94" spans="1:15">
      <c r="A94" s="150" t="s">
        <v>148</v>
      </c>
      <c r="B94" s="150">
        <v>5</v>
      </c>
      <c r="C94" s="150">
        <v>5</v>
      </c>
      <c r="D94" s="150" t="s">
        <v>231</v>
      </c>
      <c r="E94" s="150" t="s">
        <v>231</v>
      </c>
      <c r="F94" s="150">
        <v>56</v>
      </c>
      <c r="G94" s="150" t="s">
        <v>234</v>
      </c>
      <c r="H94" s="150" t="s">
        <v>136</v>
      </c>
      <c r="I94" s="151" t="s">
        <v>239</v>
      </c>
      <c r="J94" s="151" t="s">
        <v>241</v>
      </c>
      <c r="K94" s="150" t="s">
        <v>283</v>
      </c>
      <c r="L94" s="189">
        <v>91.707814894865393</v>
      </c>
      <c r="M94" s="189">
        <v>86.688124303674726</v>
      </c>
      <c r="N94" s="189">
        <v>16.128636028301671</v>
      </c>
      <c r="O94" s="189">
        <v>21.140492650592964</v>
      </c>
    </row>
    <row r="95" spans="1:15">
      <c r="A95" s="150" t="s">
        <v>149</v>
      </c>
      <c r="B95" s="150">
        <v>6</v>
      </c>
      <c r="C95" s="150">
        <v>6</v>
      </c>
      <c r="D95" s="150" t="s">
        <v>231</v>
      </c>
      <c r="E95" s="150" t="s">
        <v>231</v>
      </c>
      <c r="F95" s="150">
        <v>36</v>
      </c>
      <c r="G95" s="150" t="s">
        <v>234</v>
      </c>
      <c r="H95" s="150" t="s">
        <v>137</v>
      </c>
      <c r="I95" s="150" t="s">
        <v>132</v>
      </c>
      <c r="J95" s="150" t="s">
        <v>132</v>
      </c>
      <c r="K95" s="150" t="s">
        <v>283</v>
      </c>
      <c r="L95" s="190" t="s">
        <v>132</v>
      </c>
      <c r="M95" s="190" t="s">
        <v>132</v>
      </c>
      <c r="N95" s="190" t="s">
        <v>132</v>
      </c>
      <c r="O95" s="19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90" t="s">
        <v>132</v>
      </c>
      <c r="M96" s="190" t="s">
        <v>132</v>
      </c>
      <c r="N96" s="190" t="s">
        <v>132</v>
      </c>
      <c r="O96" s="19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90" t="s">
        <v>132</v>
      </c>
      <c r="M97" s="190" t="s">
        <v>132</v>
      </c>
      <c r="N97" s="190" t="s">
        <v>132</v>
      </c>
      <c r="O97" s="19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90" t="s">
        <v>132</v>
      </c>
      <c r="M98" s="190" t="s">
        <v>132</v>
      </c>
      <c r="N98" s="190" t="s">
        <v>132</v>
      </c>
      <c r="O98" s="19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90" t="s">
        <v>132</v>
      </c>
      <c r="M99" s="190" t="s">
        <v>132</v>
      </c>
      <c r="N99" s="190" t="s">
        <v>132</v>
      </c>
      <c r="O99" s="19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90" t="s">
        <v>132</v>
      </c>
      <c r="M100" s="190" t="s">
        <v>132</v>
      </c>
      <c r="N100" s="190" t="s">
        <v>132</v>
      </c>
      <c r="O100" s="190" t="s">
        <v>132</v>
      </c>
    </row>
  </sheetData>
  <pageMargins left="0.75" right="0.75" top="1" bottom="1" header="0.5" footer="0.5"/>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00"/>
  <sheetViews>
    <sheetView workbookViewId="0">
      <selection activeCell="L1" sqref="L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5" width="10.83203125" style="152"/>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299</v>
      </c>
      <c r="M1" s="150" t="s">
        <v>300</v>
      </c>
      <c r="N1" s="150" t="s">
        <v>301</v>
      </c>
      <c r="O1" s="150" t="s">
        <v>302</v>
      </c>
    </row>
    <row r="2" spans="1:15">
      <c r="A2" s="150" t="s">
        <v>119</v>
      </c>
      <c r="B2" s="150">
        <v>3</v>
      </c>
      <c r="C2" s="150">
        <v>3</v>
      </c>
      <c r="D2" s="150" t="s">
        <v>233</v>
      </c>
      <c r="E2" s="150" t="s">
        <v>229</v>
      </c>
      <c r="F2" s="150">
        <v>42</v>
      </c>
      <c r="G2" s="150" t="s">
        <v>234</v>
      </c>
      <c r="H2" s="150" t="s">
        <v>136</v>
      </c>
      <c r="I2" s="150" t="s">
        <v>132</v>
      </c>
      <c r="J2" s="150" t="s">
        <v>132</v>
      </c>
      <c r="K2" s="150" t="s">
        <v>132</v>
      </c>
      <c r="L2" s="190" t="s">
        <v>132</v>
      </c>
      <c r="M2" s="190" t="s">
        <v>132</v>
      </c>
      <c r="N2" s="190" t="s">
        <v>132</v>
      </c>
      <c r="O2" s="190" t="s">
        <v>132</v>
      </c>
    </row>
    <row r="3" spans="1:15">
      <c r="A3" s="150" t="s">
        <v>119</v>
      </c>
      <c r="B3" s="150">
        <v>3</v>
      </c>
      <c r="C3" s="150">
        <v>3</v>
      </c>
      <c r="D3" s="150" t="s">
        <v>233</v>
      </c>
      <c r="E3" s="150" t="s">
        <v>229</v>
      </c>
      <c r="F3" s="150">
        <v>42</v>
      </c>
      <c r="G3" s="150" t="s">
        <v>234</v>
      </c>
      <c r="H3" s="150" t="s">
        <v>136</v>
      </c>
      <c r="I3" s="150" t="s">
        <v>132</v>
      </c>
      <c r="J3" s="150" t="s">
        <v>132</v>
      </c>
      <c r="K3" s="150" t="s">
        <v>132</v>
      </c>
      <c r="L3" s="190" t="s">
        <v>132</v>
      </c>
      <c r="M3" s="190" t="s">
        <v>132</v>
      </c>
      <c r="N3" s="190" t="s">
        <v>132</v>
      </c>
      <c r="O3" s="190" t="s">
        <v>132</v>
      </c>
    </row>
    <row r="4" spans="1:15">
      <c r="A4" s="150" t="s">
        <v>120</v>
      </c>
      <c r="B4" s="150">
        <v>5</v>
      </c>
      <c r="C4" s="150">
        <v>5</v>
      </c>
      <c r="D4" s="150" t="s">
        <v>231</v>
      </c>
      <c r="E4" s="150" t="s">
        <v>231</v>
      </c>
      <c r="F4" s="150">
        <v>63</v>
      </c>
      <c r="G4" s="150" t="s">
        <v>234</v>
      </c>
      <c r="H4" s="150" t="s">
        <v>136</v>
      </c>
      <c r="I4" s="150" t="s">
        <v>239</v>
      </c>
      <c r="J4" s="150" t="s">
        <v>239</v>
      </c>
      <c r="K4" s="150" t="s">
        <v>284</v>
      </c>
      <c r="L4" s="190" t="s">
        <v>132</v>
      </c>
      <c r="M4" s="190" t="s">
        <v>132</v>
      </c>
      <c r="N4" s="190" t="s">
        <v>132</v>
      </c>
      <c r="O4" s="190" t="s">
        <v>132</v>
      </c>
    </row>
    <row r="5" spans="1:15">
      <c r="A5" s="150" t="s">
        <v>120</v>
      </c>
      <c r="B5" s="150">
        <v>5</v>
      </c>
      <c r="C5" s="150">
        <v>5</v>
      </c>
      <c r="D5" s="150" t="s">
        <v>231</v>
      </c>
      <c r="E5" s="150" t="s">
        <v>231</v>
      </c>
      <c r="F5" s="150">
        <v>63</v>
      </c>
      <c r="G5" s="150" t="s">
        <v>234</v>
      </c>
      <c r="H5" s="150" t="s">
        <v>136</v>
      </c>
      <c r="I5" s="150" t="s">
        <v>239</v>
      </c>
      <c r="J5" s="150" t="s">
        <v>239</v>
      </c>
      <c r="K5" s="150" t="s">
        <v>284</v>
      </c>
      <c r="L5" s="190" t="s">
        <v>132</v>
      </c>
      <c r="M5" s="190" t="s">
        <v>132</v>
      </c>
      <c r="N5" s="190" t="s">
        <v>132</v>
      </c>
      <c r="O5" s="190" t="s">
        <v>132</v>
      </c>
    </row>
    <row r="6" spans="1:15">
      <c r="A6" s="150" t="s">
        <v>120</v>
      </c>
      <c r="B6" s="150">
        <v>5</v>
      </c>
      <c r="C6" s="150">
        <v>5</v>
      </c>
      <c r="D6" s="150" t="s">
        <v>231</v>
      </c>
      <c r="E6" s="150" t="s">
        <v>231</v>
      </c>
      <c r="F6" s="150">
        <v>63</v>
      </c>
      <c r="G6" s="150" t="s">
        <v>234</v>
      </c>
      <c r="H6" s="150" t="s">
        <v>136</v>
      </c>
      <c r="I6" s="150" t="s">
        <v>239</v>
      </c>
      <c r="J6" s="150" t="s">
        <v>239</v>
      </c>
      <c r="K6" s="150" t="s">
        <v>284</v>
      </c>
      <c r="L6" s="190" t="s">
        <v>132</v>
      </c>
      <c r="M6" s="190" t="s">
        <v>132</v>
      </c>
      <c r="N6" s="190" t="s">
        <v>132</v>
      </c>
      <c r="O6" s="190" t="s">
        <v>132</v>
      </c>
    </row>
    <row r="7" spans="1:15">
      <c r="A7" s="150" t="s">
        <v>120</v>
      </c>
      <c r="B7" s="150">
        <v>5</v>
      </c>
      <c r="C7" s="150">
        <v>5</v>
      </c>
      <c r="D7" s="150" t="s">
        <v>231</v>
      </c>
      <c r="E7" s="150" t="s">
        <v>231</v>
      </c>
      <c r="F7" s="150">
        <v>63</v>
      </c>
      <c r="G7" s="150" t="s">
        <v>234</v>
      </c>
      <c r="H7" s="150" t="s">
        <v>136</v>
      </c>
      <c r="I7" s="150" t="s">
        <v>239</v>
      </c>
      <c r="J7" s="150" t="s">
        <v>239</v>
      </c>
      <c r="K7" s="150" t="s">
        <v>284</v>
      </c>
      <c r="L7" s="190" t="s">
        <v>132</v>
      </c>
      <c r="M7" s="190" t="s">
        <v>132</v>
      </c>
      <c r="N7" s="190" t="s">
        <v>132</v>
      </c>
      <c r="O7" s="190" t="s">
        <v>132</v>
      </c>
    </row>
    <row r="8" spans="1:15">
      <c r="A8" s="150" t="s">
        <v>120</v>
      </c>
      <c r="B8" s="150">
        <v>5</v>
      </c>
      <c r="C8" s="150">
        <v>5</v>
      </c>
      <c r="D8" s="150" t="s">
        <v>231</v>
      </c>
      <c r="E8" s="150" t="s">
        <v>231</v>
      </c>
      <c r="F8" s="150">
        <v>63</v>
      </c>
      <c r="G8" s="150" t="s">
        <v>234</v>
      </c>
      <c r="H8" s="150" t="s">
        <v>136</v>
      </c>
      <c r="I8" s="150" t="s">
        <v>239</v>
      </c>
      <c r="J8" s="150" t="s">
        <v>239</v>
      </c>
      <c r="K8" s="150" t="s">
        <v>284</v>
      </c>
      <c r="L8" s="190" t="s">
        <v>132</v>
      </c>
      <c r="M8" s="190" t="s">
        <v>132</v>
      </c>
      <c r="N8" s="190" t="s">
        <v>132</v>
      </c>
      <c r="O8" s="190" t="s">
        <v>132</v>
      </c>
    </row>
    <row r="9" spans="1:15">
      <c r="A9" s="150" t="s">
        <v>120</v>
      </c>
      <c r="B9" s="150">
        <v>5</v>
      </c>
      <c r="C9" s="150">
        <v>5</v>
      </c>
      <c r="D9" s="150" t="s">
        <v>231</v>
      </c>
      <c r="E9" s="150" t="s">
        <v>231</v>
      </c>
      <c r="F9" s="150">
        <v>63</v>
      </c>
      <c r="G9" s="150" t="s">
        <v>234</v>
      </c>
      <c r="H9" s="150" t="s">
        <v>136</v>
      </c>
      <c r="I9" s="150" t="s">
        <v>239</v>
      </c>
      <c r="J9" s="150" t="s">
        <v>239</v>
      </c>
      <c r="K9" s="150" t="s">
        <v>284</v>
      </c>
      <c r="L9" s="190" t="s">
        <v>132</v>
      </c>
      <c r="M9" s="190" t="s">
        <v>132</v>
      </c>
      <c r="N9" s="190" t="s">
        <v>132</v>
      </c>
      <c r="O9" s="19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89">
        <v>5066.666666666667</v>
      </c>
      <c r="M10" s="189">
        <v>2720</v>
      </c>
      <c r="N10" s="189">
        <v>3096.2342719288326</v>
      </c>
      <c r="O10" s="189">
        <v>1073.8342516422169</v>
      </c>
    </row>
    <row r="11" spans="1:15">
      <c r="A11" s="150" t="s">
        <v>130</v>
      </c>
      <c r="B11" s="150">
        <v>6</v>
      </c>
      <c r="C11" s="150">
        <v>6</v>
      </c>
      <c r="D11" s="150" t="s">
        <v>231</v>
      </c>
      <c r="E11" s="150" t="s">
        <v>231</v>
      </c>
      <c r="F11" s="150">
        <v>63</v>
      </c>
      <c r="G11" s="150" t="s">
        <v>234</v>
      </c>
      <c r="H11" s="150" t="s">
        <v>136</v>
      </c>
      <c r="I11" s="150" t="s">
        <v>239</v>
      </c>
      <c r="J11" s="150" t="s">
        <v>239</v>
      </c>
      <c r="K11" s="150" t="s">
        <v>283</v>
      </c>
      <c r="L11" s="189">
        <v>3076.6666666666665</v>
      </c>
      <c r="M11" s="189">
        <v>5720</v>
      </c>
      <c r="N11" s="189">
        <v>1839.224474246324</v>
      </c>
      <c r="O11" s="189">
        <v>2920.4109299891343</v>
      </c>
    </row>
    <row r="12" spans="1:15">
      <c r="A12" s="150" t="s">
        <v>130</v>
      </c>
      <c r="B12" s="150">
        <v>6</v>
      </c>
      <c r="C12" s="150">
        <v>6</v>
      </c>
      <c r="D12" s="150" t="s">
        <v>231</v>
      </c>
      <c r="E12" s="150" t="s">
        <v>231</v>
      </c>
      <c r="F12" s="150">
        <v>63</v>
      </c>
      <c r="G12" s="150" t="s">
        <v>234</v>
      </c>
      <c r="H12" s="150" t="s">
        <v>136</v>
      </c>
      <c r="I12" s="150" t="s">
        <v>239</v>
      </c>
      <c r="J12" s="150" t="s">
        <v>239</v>
      </c>
      <c r="K12" s="150" t="s">
        <v>283</v>
      </c>
      <c r="L12" s="189">
        <v>6516.666666666667</v>
      </c>
      <c r="M12" s="189">
        <v>5700</v>
      </c>
      <c r="N12" s="189">
        <v>2299.0577780183494</v>
      </c>
      <c r="O12" s="189">
        <v>2437.2115213907882</v>
      </c>
    </row>
    <row r="13" spans="1:15">
      <c r="A13" s="150" t="s">
        <v>130</v>
      </c>
      <c r="B13" s="150">
        <v>6</v>
      </c>
      <c r="C13" s="150">
        <v>6</v>
      </c>
      <c r="D13" s="150" t="s">
        <v>231</v>
      </c>
      <c r="E13" s="150" t="s">
        <v>231</v>
      </c>
      <c r="F13" s="150">
        <v>63</v>
      </c>
      <c r="G13" s="150" t="s">
        <v>234</v>
      </c>
      <c r="H13" s="150" t="s">
        <v>136</v>
      </c>
      <c r="I13" s="150" t="s">
        <v>239</v>
      </c>
      <c r="J13" s="150" t="s">
        <v>240</v>
      </c>
      <c r="K13" s="150" t="s">
        <v>284</v>
      </c>
      <c r="L13" s="189">
        <v>12933.333333333334</v>
      </c>
      <c r="M13" s="189">
        <v>17300</v>
      </c>
      <c r="N13" s="189">
        <v>7740.4564895532276</v>
      </c>
      <c r="O13" s="189">
        <v>9358.204956079986</v>
      </c>
    </row>
    <row r="14" spans="1:15">
      <c r="A14" s="150" t="s">
        <v>131</v>
      </c>
      <c r="B14" s="150">
        <v>3</v>
      </c>
      <c r="C14" s="150">
        <v>3</v>
      </c>
      <c r="D14" s="150" t="s">
        <v>233</v>
      </c>
      <c r="E14" s="150" t="s">
        <v>228</v>
      </c>
      <c r="F14" s="150">
        <v>58</v>
      </c>
      <c r="G14" s="150" t="s">
        <v>234</v>
      </c>
      <c r="H14" s="150" t="s">
        <v>136</v>
      </c>
      <c r="I14" s="150" t="s">
        <v>132</v>
      </c>
      <c r="J14" s="150" t="s">
        <v>132</v>
      </c>
      <c r="K14" s="150" t="s">
        <v>284</v>
      </c>
      <c r="L14" s="190" t="s">
        <v>132</v>
      </c>
      <c r="M14" s="190" t="s">
        <v>132</v>
      </c>
      <c r="N14" s="190" t="s">
        <v>132</v>
      </c>
      <c r="O14" s="19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90" t="s">
        <v>132</v>
      </c>
      <c r="M15" s="190" t="s">
        <v>132</v>
      </c>
      <c r="N15" s="190" t="s">
        <v>132</v>
      </c>
      <c r="O15" s="19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90" t="s">
        <v>132</v>
      </c>
      <c r="M16" s="190" t="s">
        <v>132</v>
      </c>
      <c r="N16" s="190" t="s">
        <v>132</v>
      </c>
      <c r="O16" s="19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90" t="s">
        <v>132</v>
      </c>
      <c r="M17" s="190" t="s">
        <v>132</v>
      </c>
      <c r="N17" s="190" t="s">
        <v>132</v>
      </c>
      <c r="O17" s="19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90" t="s">
        <v>132</v>
      </c>
      <c r="M18" s="190" t="s">
        <v>132</v>
      </c>
      <c r="N18" s="190" t="s">
        <v>132</v>
      </c>
      <c r="O18" s="19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90" t="s">
        <v>132</v>
      </c>
      <c r="M19" s="190" t="s">
        <v>132</v>
      </c>
      <c r="N19" s="190" t="s">
        <v>132</v>
      </c>
      <c r="O19" s="19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90" t="s">
        <v>132</v>
      </c>
      <c r="M20" s="190" t="s">
        <v>132</v>
      </c>
      <c r="N20" s="190" t="s">
        <v>132</v>
      </c>
      <c r="O20" s="19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90" t="s">
        <v>132</v>
      </c>
      <c r="M21" s="190" t="s">
        <v>132</v>
      </c>
      <c r="N21" s="190" t="s">
        <v>132</v>
      </c>
      <c r="O21" s="190" t="s">
        <v>132</v>
      </c>
    </row>
    <row r="22" spans="1:15">
      <c r="A22" s="150" t="s">
        <v>133</v>
      </c>
      <c r="B22" s="150">
        <v>8</v>
      </c>
      <c r="C22" s="150">
        <v>8</v>
      </c>
      <c r="D22" s="150" t="s">
        <v>231</v>
      </c>
      <c r="E22" s="150" t="s">
        <v>231</v>
      </c>
      <c r="F22" s="150">
        <v>63</v>
      </c>
      <c r="G22" s="150" t="s">
        <v>234</v>
      </c>
      <c r="H22" s="150" t="s">
        <v>137</v>
      </c>
      <c r="I22" s="150" t="s">
        <v>239</v>
      </c>
      <c r="J22" s="151" t="s">
        <v>241</v>
      </c>
      <c r="K22" s="150" t="s">
        <v>284</v>
      </c>
      <c r="L22" s="190" t="s">
        <v>132</v>
      </c>
      <c r="M22" s="190" t="s">
        <v>132</v>
      </c>
      <c r="N22" s="190" t="s">
        <v>132</v>
      </c>
      <c r="O22" s="190" t="s">
        <v>132</v>
      </c>
    </row>
    <row r="23" spans="1:15">
      <c r="A23" s="150" t="s">
        <v>133</v>
      </c>
      <c r="B23" s="150">
        <v>8</v>
      </c>
      <c r="C23" s="150">
        <v>8</v>
      </c>
      <c r="D23" s="150" t="s">
        <v>231</v>
      </c>
      <c r="E23" s="150" t="s">
        <v>231</v>
      </c>
      <c r="F23" s="150">
        <v>63</v>
      </c>
      <c r="G23" s="150" t="s">
        <v>234</v>
      </c>
      <c r="H23" s="150" t="s">
        <v>137</v>
      </c>
      <c r="I23" s="150" t="s">
        <v>240</v>
      </c>
      <c r="J23" s="151" t="s">
        <v>241</v>
      </c>
      <c r="K23" s="150" t="s">
        <v>284</v>
      </c>
      <c r="L23" s="190" t="s">
        <v>132</v>
      </c>
      <c r="M23" s="190" t="s">
        <v>132</v>
      </c>
      <c r="N23" s="190" t="s">
        <v>132</v>
      </c>
      <c r="O23" s="190" t="s">
        <v>132</v>
      </c>
    </row>
    <row r="24" spans="1:15">
      <c r="A24" s="150" t="s">
        <v>133</v>
      </c>
      <c r="B24" s="150">
        <v>8</v>
      </c>
      <c r="C24" s="150">
        <v>8</v>
      </c>
      <c r="D24" s="150" t="s">
        <v>231</v>
      </c>
      <c r="E24" s="150" t="s">
        <v>231</v>
      </c>
      <c r="F24" s="150">
        <v>63</v>
      </c>
      <c r="G24" s="150" t="s">
        <v>234</v>
      </c>
      <c r="H24" s="150" t="s">
        <v>137</v>
      </c>
      <c r="I24" s="150" t="s">
        <v>239</v>
      </c>
      <c r="J24" s="151" t="s">
        <v>241</v>
      </c>
      <c r="K24" s="150" t="s">
        <v>284</v>
      </c>
      <c r="L24" s="190" t="s">
        <v>132</v>
      </c>
      <c r="M24" s="190" t="s">
        <v>132</v>
      </c>
      <c r="N24" s="190" t="s">
        <v>132</v>
      </c>
      <c r="O24" s="190" t="s">
        <v>132</v>
      </c>
    </row>
    <row r="25" spans="1:15">
      <c r="A25" s="150" t="s">
        <v>134</v>
      </c>
      <c r="B25" s="150">
        <v>4</v>
      </c>
      <c r="C25" s="150">
        <v>4</v>
      </c>
      <c r="D25" s="150" t="s">
        <v>231</v>
      </c>
      <c r="E25" s="150" t="s">
        <v>231</v>
      </c>
      <c r="F25" s="150">
        <v>72</v>
      </c>
      <c r="G25" s="150" t="s">
        <v>235</v>
      </c>
      <c r="H25" s="150" t="s">
        <v>136</v>
      </c>
      <c r="I25" s="150" t="s">
        <v>240</v>
      </c>
      <c r="J25" s="151" t="s">
        <v>241</v>
      </c>
      <c r="K25" s="150" t="s">
        <v>284</v>
      </c>
      <c r="L25" s="190" t="s">
        <v>132</v>
      </c>
      <c r="M25" s="190" t="s">
        <v>132</v>
      </c>
      <c r="N25" s="190" t="s">
        <v>132</v>
      </c>
      <c r="O25" s="19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90" t="s">
        <v>132</v>
      </c>
      <c r="M26" s="190" t="s">
        <v>132</v>
      </c>
      <c r="N26" s="190" t="s">
        <v>132</v>
      </c>
      <c r="O26" s="190" t="s">
        <v>132</v>
      </c>
    </row>
    <row r="27" spans="1:15">
      <c r="A27" s="150" t="s">
        <v>135</v>
      </c>
      <c r="B27" s="150">
        <v>6</v>
      </c>
      <c r="C27" s="150">
        <v>6</v>
      </c>
      <c r="D27" s="150" t="s">
        <v>231</v>
      </c>
      <c r="E27" s="150" t="s">
        <v>231</v>
      </c>
      <c r="F27" s="150">
        <v>79</v>
      </c>
      <c r="G27" s="150" t="s">
        <v>235</v>
      </c>
      <c r="H27" s="150" t="s">
        <v>136</v>
      </c>
      <c r="I27" s="150" t="s">
        <v>239</v>
      </c>
      <c r="J27" s="150" t="s">
        <v>240</v>
      </c>
      <c r="K27" s="150" t="s">
        <v>284</v>
      </c>
      <c r="L27" s="190" t="s">
        <v>132</v>
      </c>
      <c r="M27" s="190" t="s">
        <v>132</v>
      </c>
      <c r="N27" s="190" t="s">
        <v>132</v>
      </c>
      <c r="O27" s="190" t="s">
        <v>132</v>
      </c>
    </row>
    <row r="28" spans="1:15">
      <c r="A28" s="150" t="s">
        <v>138</v>
      </c>
      <c r="B28" s="150">
        <v>4</v>
      </c>
      <c r="C28" s="150">
        <v>4</v>
      </c>
      <c r="D28" s="150" t="s">
        <v>231</v>
      </c>
      <c r="E28" s="150" t="s">
        <v>231</v>
      </c>
      <c r="F28" s="150">
        <v>63</v>
      </c>
      <c r="G28" s="150" t="s">
        <v>235</v>
      </c>
      <c r="H28" s="150" t="s">
        <v>137</v>
      </c>
      <c r="I28" s="150" t="s">
        <v>132</v>
      </c>
      <c r="J28" s="150" t="s">
        <v>239</v>
      </c>
      <c r="K28" s="150" t="s">
        <v>285</v>
      </c>
      <c r="L28" s="190" t="s">
        <v>132</v>
      </c>
      <c r="M28" s="190" t="s">
        <v>132</v>
      </c>
      <c r="N28" s="190" t="s">
        <v>132</v>
      </c>
      <c r="O28" s="190" t="s">
        <v>132</v>
      </c>
    </row>
    <row r="29" spans="1:15">
      <c r="A29" s="150" t="s">
        <v>138</v>
      </c>
      <c r="B29" s="150">
        <v>4</v>
      </c>
      <c r="C29" s="150">
        <v>4</v>
      </c>
      <c r="D29" s="150" t="s">
        <v>231</v>
      </c>
      <c r="E29" s="150" t="s">
        <v>231</v>
      </c>
      <c r="F29" s="150">
        <v>63</v>
      </c>
      <c r="G29" s="150" t="s">
        <v>235</v>
      </c>
      <c r="H29" s="150" t="s">
        <v>137</v>
      </c>
      <c r="I29" s="150" t="s">
        <v>132</v>
      </c>
      <c r="J29" s="150" t="s">
        <v>239</v>
      </c>
      <c r="K29" s="150" t="s">
        <v>285</v>
      </c>
      <c r="L29" s="190" t="s">
        <v>132</v>
      </c>
      <c r="M29" s="190" t="s">
        <v>132</v>
      </c>
      <c r="N29" s="190" t="s">
        <v>132</v>
      </c>
      <c r="O29" s="190" t="s">
        <v>132</v>
      </c>
    </row>
    <row r="30" spans="1:15">
      <c r="A30" s="150" t="s">
        <v>139</v>
      </c>
      <c r="B30" s="150">
        <v>3</v>
      </c>
      <c r="C30" s="150">
        <v>3</v>
      </c>
      <c r="D30" s="150" t="s">
        <v>233</v>
      </c>
      <c r="E30" s="150" t="s">
        <v>228</v>
      </c>
      <c r="F30" s="150">
        <v>42</v>
      </c>
      <c r="G30" s="150" t="s">
        <v>234</v>
      </c>
      <c r="H30" s="150" t="s">
        <v>136</v>
      </c>
      <c r="I30" s="150" t="s">
        <v>132</v>
      </c>
      <c r="J30" s="150" t="s">
        <v>132</v>
      </c>
      <c r="K30" s="150" t="s">
        <v>283</v>
      </c>
      <c r="L30" s="190" t="s">
        <v>132</v>
      </c>
      <c r="M30" s="190" t="s">
        <v>132</v>
      </c>
      <c r="N30" s="190" t="s">
        <v>132</v>
      </c>
      <c r="O30" s="19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90" t="s">
        <v>132</v>
      </c>
      <c r="M31" s="190" t="s">
        <v>132</v>
      </c>
      <c r="N31" s="190" t="s">
        <v>132</v>
      </c>
      <c r="O31" s="19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90" t="s">
        <v>132</v>
      </c>
      <c r="M32" s="190" t="s">
        <v>132</v>
      </c>
      <c r="N32" s="190" t="s">
        <v>132</v>
      </c>
      <c r="O32" s="19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90" t="s">
        <v>132</v>
      </c>
      <c r="M33" s="190" t="s">
        <v>132</v>
      </c>
      <c r="N33" s="190" t="s">
        <v>132</v>
      </c>
      <c r="O33" s="19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90" t="s">
        <v>132</v>
      </c>
      <c r="M34" s="190" t="s">
        <v>132</v>
      </c>
      <c r="N34" s="190" t="s">
        <v>132</v>
      </c>
      <c r="O34" s="19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90" t="s">
        <v>132</v>
      </c>
      <c r="M35" s="190" t="s">
        <v>132</v>
      </c>
      <c r="N35" s="190" t="s">
        <v>132</v>
      </c>
      <c r="O35" s="19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90" t="s">
        <v>132</v>
      </c>
      <c r="M36" s="190" t="s">
        <v>132</v>
      </c>
      <c r="N36" s="190" t="s">
        <v>132</v>
      </c>
      <c r="O36" s="19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90" t="s">
        <v>132</v>
      </c>
      <c r="M37" s="190" t="s">
        <v>132</v>
      </c>
      <c r="N37" s="190" t="s">
        <v>132</v>
      </c>
      <c r="O37" s="19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90" t="s">
        <v>132</v>
      </c>
      <c r="M38" s="190" t="s">
        <v>132</v>
      </c>
      <c r="N38" s="190" t="s">
        <v>132</v>
      </c>
      <c r="O38" s="19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90" t="s">
        <v>132</v>
      </c>
      <c r="M39" s="190" t="s">
        <v>132</v>
      </c>
      <c r="N39" s="190" t="s">
        <v>132</v>
      </c>
      <c r="O39" s="19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90" t="s">
        <v>132</v>
      </c>
      <c r="M40" s="190" t="s">
        <v>132</v>
      </c>
      <c r="N40" s="190" t="s">
        <v>132</v>
      </c>
      <c r="O40" s="19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90" t="s">
        <v>132</v>
      </c>
      <c r="M41" s="190" t="s">
        <v>132</v>
      </c>
      <c r="N41" s="190" t="s">
        <v>132</v>
      </c>
      <c r="O41" s="19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90" t="s">
        <v>132</v>
      </c>
      <c r="M42" s="190" t="s">
        <v>132</v>
      </c>
      <c r="N42" s="190" t="s">
        <v>132</v>
      </c>
      <c r="O42" s="19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90" t="s">
        <v>132</v>
      </c>
      <c r="M43" s="190" t="s">
        <v>132</v>
      </c>
      <c r="N43" s="190" t="s">
        <v>132</v>
      </c>
      <c r="O43" s="19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90" t="s">
        <v>132</v>
      </c>
      <c r="M44" s="190" t="s">
        <v>132</v>
      </c>
      <c r="N44" s="190" t="s">
        <v>132</v>
      </c>
      <c r="O44" s="19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90" t="s">
        <v>132</v>
      </c>
      <c r="M45" s="190" t="s">
        <v>132</v>
      </c>
      <c r="N45" s="190" t="s">
        <v>132</v>
      </c>
      <c r="O45" s="19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90" t="s">
        <v>132</v>
      </c>
      <c r="M46" s="190" t="s">
        <v>132</v>
      </c>
      <c r="N46" s="190" t="s">
        <v>132</v>
      </c>
      <c r="O46" s="19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90" t="s">
        <v>132</v>
      </c>
      <c r="M47" s="190" t="s">
        <v>132</v>
      </c>
      <c r="N47" s="190" t="s">
        <v>132</v>
      </c>
      <c r="O47" s="19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90" t="s">
        <v>132</v>
      </c>
      <c r="M48" s="190" t="s">
        <v>132</v>
      </c>
      <c r="N48" s="190" t="s">
        <v>132</v>
      </c>
      <c r="O48" s="19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90" t="s">
        <v>132</v>
      </c>
      <c r="M49" s="190" t="s">
        <v>132</v>
      </c>
      <c r="N49" s="190" t="s">
        <v>132</v>
      </c>
      <c r="O49" s="19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90" t="s">
        <v>132</v>
      </c>
      <c r="M50" s="190" t="s">
        <v>132</v>
      </c>
      <c r="N50" s="190" t="s">
        <v>132</v>
      </c>
      <c r="O50" s="19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90" t="s">
        <v>132</v>
      </c>
      <c r="M51" s="190" t="s">
        <v>132</v>
      </c>
      <c r="N51" s="190" t="s">
        <v>132</v>
      </c>
      <c r="O51" s="19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90" t="s">
        <v>132</v>
      </c>
      <c r="M52" s="190" t="s">
        <v>132</v>
      </c>
      <c r="N52" s="190" t="s">
        <v>132</v>
      </c>
      <c r="O52" s="19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90" t="s">
        <v>132</v>
      </c>
      <c r="M53" s="190" t="s">
        <v>132</v>
      </c>
      <c r="N53" s="190" t="s">
        <v>132</v>
      </c>
      <c r="O53" s="19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90" t="s">
        <v>132</v>
      </c>
      <c r="M54" s="190" t="s">
        <v>132</v>
      </c>
      <c r="N54" s="190" t="s">
        <v>132</v>
      </c>
      <c r="O54" s="19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90" t="s">
        <v>132</v>
      </c>
      <c r="M55" s="190" t="s">
        <v>132</v>
      </c>
      <c r="N55" s="190" t="s">
        <v>132</v>
      </c>
      <c r="O55" s="19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90" t="s">
        <v>132</v>
      </c>
      <c r="M56" s="190" t="s">
        <v>132</v>
      </c>
      <c r="N56" s="190" t="s">
        <v>132</v>
      </c>
      <c r="O56" s="19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90" t="s">
        <v>132</v>
      </c>
      <c r="M57" s="190" t="s">
        <v>132</v>
      </c>
      <c r="N57" s="190" t="s">
        <v>132</v>
      </c>
      <c r="O57" s="19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90" t="s">
        <v>132</v>
      </c>
      <c r="M58" s="190" t="s">
        <v>132</v>
      </c>
      <c r="N58" s="190" t="s">
        <v>132</v>
      </c>
      <c r="O58" s="19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90" t="s">
        <v>132</v>
      </c>
      <c r="M59" s="190" t="s">
        <v>132</v>
      </c>
      <c r="N59" s="190" t="s">
        <v>132</v>
      </c>
      <c r="O59" s="19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90" t="s">
        <v>132</v>
      </c>
      <c r="M60" s="190" t="s">
        <v>132</v>
      </c>
      <c r="N60" s="190" t="s">
        <v>132</v>
      </c>
      <c r="O60" s="19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90" t="s">
        <v>132</v>
      </c>
      <c r="M61" s="190" t="s">
        <v>132</v>
      </c>
      <c r="N61" s="190" t="s">
        <v>132</v>
      </c>
      <c r="O61" s="19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90" t="s">
        <v>132</v>
      </c>
      <c r="M62" s="190" t="s">
        <v>132</v>
      </c>
      <c r="N62" s="190" t="s">
        <v>132</v>
      </c>
      <c r="O62" s="19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90" t="s">
        <v>132</v>
      </c>
      <c r="M63" s="190" t="s">
        <v>132</v>
      </c>
      <c r="N63" s="190" t="s">
        <v>132</v>
      </c>
      <c r="O63" s="19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90" t="s">
        <v>132</v>
      </c>
      <c r="M64" s="190" t="s">
        <v>132</v>
      </c>
      <c r="N64" s="190" t="s">
        <v>132</v>
      </c>
      <c r="O64" s="19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90" t="s">
        <v>132</v>
      </c>
      <c r="M65" s="190" t="s">
        <v>132</v>
      </c>
      <c r="N65" s="190" t="s">
        <v>132</v>
      </c>
      <c r="O65" s="19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90" t="s">
        <v>132</v>
      </c>
      <c r="M66" s="190" t="s">
        <v>132</v>
      </c>
      <c r="N66" s="190" t="s">
        <v>132</v>
      </c>
      <c r="O66" s="19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90" t="s">
        <v>132</v>
      </c>
      <c r="M67" s="190" t="s">
        <v>132</v>
      </c>
      <c r="N67" s="190" t="s">
        <v>132</v>
      </c>
      <c r="O67" s="19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90" t="s">
        <v>132</v>
      </c>
      <c r="M68" s="190" t="s">
        <v>132</v>
      </c>
      <c r="N68" s="190" t="s">
        <v>132</v>
      </c>
      <c r="O68" s="19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89">
        <v>1370</v>
      </c>
      <c r="M69" s="189">
        <v>3158</v>
      </c>
      <c r="N69" s="189">
        <v>634.50768316861217</v>
      </c>
      <c r="O69" s="189">
        <v>2225.1561742942899</v>
      </c>
    </row>
    <row r="70" spans="1:15">
      <c r="A70" s="150" t="s">
        <v>146</v>
      </c>
      <c r="B70" s="150">
        <v>5</v>
      </c>
      <c r="C70" s="150">
        <v>5</v>
      </c>
      <c r="D70" s="150" t="s">
        <v>231</v>
      </c>
      <c r="E70" s="150" t="s">
        <v>231</v>
      </c>
      <c r="F70" s="150">
        <v>63</v>
      </c>
      <c r="G70" s="150" t="s">
        <v>234</v>
      </c>
      <c r="H70" s="150" t="s">
        <v>136</v>
      </c>
      <c r="I70" s="151" t="s">
        <v>239</v>
      </c>
      <c r="J70" s="150" t="s">
        <v>240</v>
      </c>
      <c r="K70" s="150" t="s">
        <v>283</v>
      </c>
      <c r="L70" s="189">
        <v>1682</v>
      </c>
      <c r="M70" s="189">
        <v>1178</v>
      </c>
      <c r="N70" s="189">
        <v>1265.0573109547252</v>
      </c>
      <c r="O70" s="189">
        <v>219.5905280288747</v>
      </c>
    </row>
    <row r="71" spans="1:15">
      <c r="A71" s="150" t="s">
        <v>146</v>
      </c>
      <c r="B71" s="150">
        <v>5</v>
      </c>
      <c r="C71" s="150">
        <v>5</v>
      </c>
      <c r="D71" s="150" t="s">
        <v>231</v>
      </c>
      <c r="E71" s="150" t="s">
        <v>231</v>
      </c>
      <c r="F71" s="150">
        <v>63</v>
      </c>
      <c r="G71" s="150" t="s">
        <v>234</v>
      </c>
      <c r="H71" s="150" t="s">
        <v>136</v>
      </c>
      <c r="I71" s="151" t="s">
        <v>239</v>
      </c>
      <c r="J71" s="150" t="s">
        <v>240</v>
      </c>
      <c r="K71" s="150" t="s">
        <v>283</v>
      </c>
      <c r="L71" s="189">
        <v>918</v>
      </c>
      <c r="M71" s="189">
        <v>1278</v>
      </c>
      <c r="N71" s="189">
        <v>433.78566135823348</v>
      </c>
      <c r="O71" s="189">
        <v>769.98051923409071</v>
      </c>
    </row>
    <row r="72" spans="1:15">
      <c r="A72" s="150" t="s">
        <v>146</v>
      </c>
      <c r="B72" s="150">
        <v>5</v>
      </c>
      <c r="C72" s="150">
        <v>5</v>
      </c>
      <c r="D72" s="150" t="s">
        <v>231</v>
      </c>
      <c r="E72" s="150" t="s">
        <v>231</v>
      </c>
      <c r="F72" s="150">
        <v>63</v>
      </c>
      <c r="G72" s="150" t="s">
        <v>234</v>
      </c>
      <c r="H72" s="150" t="s">
        <v>136</v>
      </c>
      <c r="I72" s="151" t="s">
        <v>239</v>
      </c>
      <c r="J72" s="150" t="s">
        <v>240</v>
      </c>
      <c r="K72" s="150" t="s">
        <v>283</v>
      </c>
      <c r="L72" s="189">
        <v>3222</v>
      </c>
      <c r="M72" s="189">
        <v>2056</v>
      </c>
      <c r="N72" s="189">
        <v>3599.3291041526059</v>
      </c>
      <c r="O72" s="189">
        <v>1183.1652462779659</v>
      </c>
    </row>
    <row r="73" spans="1:15">
      <c r="A73" s="150" t="s">
        <v>146</v>
      </c>
      <c r="B73" s="150">
        <v>5</v>
      </c>
      <c r="C73" s="150">
        <v>5</v>
      </c>
      <c r="D73" s="150" t="s">
        <v>231</v>
      </c>
      <c r="E73" s="150" t="s">
        <v>231</v>
      </c>
      <c r="F73" s="150">
        <v>63</v>
      </c>
      <c r="G73" s="150" t="s">
        <v>234</v>
      </c>
      <c r="H73" s="150" t="s">
        <v>136</v>
      </c>
      <c r="I73" s="151" t="s">
        <v>239</v>
      </c>
      <c r="J73" s="150" t="s">
        <v>240</v>
      </c>
      <c r="K73" s="150" t="s">
        <v>283</v>
      </c>
      <c r="L73" s="189">
        <v>1154</v>
      </c>
      <c r="M73" s="189">
        <v>1000</v>
      </c>
      <c r="N73" s="189">
        <v>314.69032396945414</v>
      </c>
      <c r="O73" s="189">
        <v>457.32920309116497</v>
      </c>
    </row>
    <row r="74" spans="1:15">
      <c r="A74" s="150" t="s">
        <v>146</v>
      </c>
      <c r="B74" s="150">
        <v>5</v>
      </c>
      <c r="C74" s="150">
        <v>5</v>
      </c>
      <c r="D74" s="150" t="s">
        <v>231</v>
      </c>
      <c r="E74" s="150" t="s">
        <v>231</v>
      </c>
      <c r="F74" s="150">
        <v>63</v>
      </c>
      <c r="G74" s="150" t="s">
        <v>234</v>
      </c>
      <c r="H74" s="150" t="s">
        <v>136</v>
      </c>
      <c r="I74" s="151" t="s">
        <v>240</v>
      </c>
      <c r="J74" s="151" t="s">
        <v>241</v>
      </c>
      <c r="K74" s="150" t="s">
        <v>283</v>
      </c>
      <c r="L74" s="189">
        <v>3694</v>
      </c>
      <c r="M74" s="189">
        <v>3286</v>
      </c>
      <c r="N74" s="189">
        <v>2036.0943003701966</v>
      </c>
      <c r="O74" s="189">
        <v>2840.1549253517842</v>
      </c>
    </row>
    <row r="75" spans="1:15">
      <c r="A75" s="150" t="s">
        <v>146</v>
      </c>
      <c r="B75" s="150">
        <v>5</v>
      </c>
      <c r="C75" s="150">
        <v>5</v>
      </c>
      <c r="D75" s="150" t="s">
        <v>231</v>
      </c>
      <c r="E75" s="150" t="s">
        <v>231</v>
      </c>
      <c r="F75" s="150">
        <v>63</v>
      </c>
      <c r="G75" s="150" t="s">
        <v>234</v>
      </c>
      <c r="H75" s="150" t="s">
        <v>136</v>
      </c>
      <c r="I75" s="151" t="s">
        <v>239</v>
      </c>
      <c r="J75" s="151" t="s">
        <v>241</v>
      </c>
      <c r="K75" s="150" t="s">
        <v>283</v>
      </c>
      <c r="L75" s="189">
        <v>5180</v>
      </c>
      <c r="M75" s="189">
        <v>644</v>
      </c>
      <c r="N75" s="189">
        <v>2233.1591971912794</v>
      </c>
      <c r="O75" s="189">
        <v>163.64595931461309</v>
      </c>
    </row>
    <row r="76" spans="1:15">
      <c r="A76" s="150" t="s">
        <v>146</v>
      </c>
      <c r="B76" s="150">
        <v>5</v>
      </c>
      <c r="C76" s="150">
        <v>5</v>
      </c>
      <c r="D76" s="150" t="s">
        <v>231</v>
      </c>
      <c r="E76" s="150" t="s">
        <v>231</v>
      </c>
      <c r="F76" s="150">
        <v>63</v>
      </c>
      <c r="G76" s="150" t="s">
        <v>234</v>
      </c>
      <c r="H76" s="150" t="s">
        <v>136</v>
      </c>
      <c r="I76" s="151" t="s">
        <v>239</v>
      </c>
      <c r="J76" s="151" t="s">
        <v>241</v>
      </c>
      <c r="K76" s="150" t="s">
        <v>283</v>
      </c>
      <c r="L76" s="189">
        <v>5760</v>
      </c>
      <c r="M76" s="189">
        <v>572</v>
      </c>
      <c r="N76" s="189">
        <v>4620.9306421975216</v>
      </c>
      <c r="O76" s="189">
        <v>202.41047403728888</v>
      </c>
    </row>
    <row r="77" spans="1:15">
      <c r="A77" s="150" t="s">
        <v>146</v>
      </c>
      <c r="B77" s="150">
        <v>5</v>
      </c>
      <c r="C77" s="150">
        <v>5</v>
      </c>
      <c r="D77" s="150" t="s">
        <v>231</v>
      </c>
      <c r="E77" s="150" t="s">
        <v>231</v>
      </c>
      <c r="F77" s="150">
        <v>63</v>
      </c>
      <c r="G77" s="150" t="s">
        <v>234</v>
      </c>
      <c r="H77" s="150" t="s">
        <v>136</v>
      </c>
      <c r="I77" s="151" t="s">
        <v>239</v>
      </c>
      <c r="J77" s="151" t="s">
        <v>241</v>
      </c>
      <c r="K77" s="150" t="s">
        <v>283</v>
      </c>
      <c r="L77" s="189">
        <v>3700</v>
      </c>
      <c r="M77" s="189">
        <v>848</v>
      </c>
      <c r="N77" s="189">
        <v>1496.6629547095765</v>
      </c>
      <c r="O77" s="189">
        <v>715.87009994830771</v>
      </c>
    </row>
    <row r="78" spans="1:15">
      <c r="A78" s="150" t="s">
        <v>146</v>
      </c>
      <c r="B78" s="150">
        <v>5</v>
      </c>
      <c r="C78" s="150">
        <v>5</v>
      </c>
      <c r="D78" s="150" t="s">
        <v>231</v>
      </c>
      <c r="E78" s="150" t="s">
        <v>231</v>
      </c>
      <c r="F78" s="150">
        <v>63</v>
      </c>
      <c r="G78" s="150" t="s">
        <v>234</v>
      </c>
      <c r="H78" s="150" t="s">
        <v>136</v>
      </c>
      <c r="I78" s="151" t="s">
        <v>239</v>
      </c>
      <c r="J78" s="151" t="s">
        <v>241</v>
      </c>
      <c r="K78" s="150" t="s">
        <v>283</v>
      </c>
      <c r="L78" s="189">
        <v>3620</v>
      </c>
      <c r="M78" s="189">
        <v>1174</v>
      </c>
      <c r="N78" s="189">
        <v>704.98226928058273</v>
      </c>
      <c r="O78" s="189">
        <v>964.1472916520587</v>
      </c>
    </row>
    <row r="79" spans="1:15">
      <c r="A79" s="150" t="s">
        <v>147</v>
      </c>
      <c r="B79" s="150">
        <v>5</v>
      </c>
      <c r="C79" s="150">
        <v>5</v>
      </c>
      <c r="D79" s="150" t="s">
        <v>231</v>
      </c>
      <c r="E79" s="150" t="s">
        <v>231</v>
      </c>
      <c r="F79" s="150">
        <v>63</v>
      </c>
      <c r="G79" s="150" t="s">
        <v>234</v>
      </c>
      <c r="H79" s="150" t="s">
        <v>136</v>
      </c>
      <c r="I79" s="151" t="s">
        <v>240</v>
      </c>
      <c r="J79" s="150" t="s">
        <v>240</v>
      </c>
      <c r="K79" s="150" t="s">
        <v>283</v>
      </c>
      <c r="L79" s="189">
        <v>872</v>
      </c>
      <c r="M79" s="189">
        <v>1854</v>
      </c>
      <c r="N79" s="189">
        <v>449.35509343947575</v>
      </c>
      <c r="O79" s="189">
        <v>1012.9313895817426</v>
      </c>
    </row>
    <row r="80" spans="1:15">
      <c r="A80" s="150" t="s">
        <v>147</v>
      </c>
      <c r="B80" s="150">
        <v>5</v>
      </c>
      <c r="C80" s="150">
        <v>5</v>
      </c>
      <c r="D80" s="150" t="s">
        <v>231</v>
      </c>
      <c r="E80" s="150" t="s">
        <v>231</v>
      </c>
      <c r="F80" s="150">
        <v>63</v>
      </c>
      <c r="G80" s="150" t="s">
        <v>234</v>
      </c>
      <c r="H80" s="150" t="s">
        <v>136</v>
      </c>
      <c r="I80" s="151" t="s">
        <v>240</v>
      </c>
      <c r="J80" s="151" t="s">
        <v>241</v>
      </c>
      <c r="K80" s="150" t="s">
        <v>283</v>
      </c>
      <c r="L80" s="189">
        <v>334</v>
      </c>
      <c r="M80" s="189">
        <v>794</v>
      </c>
      <c r="N80" s="189">
        <v>77.974354758471705</v>
      </c>
      <c r="O80" s="189">
        <v>519.11463088608855</v>
      </c>
    </row>
    <row r="81" spans="1:15">
      <c r="A81" s="150" t="s">
        <v>147</v>
      </c>
      <c r="B81" s="150">
        <v>5</v>
      </c>
      <c r="C81" s="150">
        <v>5</v>
      </c>
      <c r="D81" s="150" t="s">
        <v>231</v>
      </c>
      <c r="E81" s="150" t="s">
        <v>231</v>
      </c>
      <c r="F81" s="150">
        <v>63</v>
      </c>
      <c r="G81" s="150" t="s">
        <v>234</v>
      </c>
      <c r="H81" s="150" t="s">
        <v>136</v>
      </c>
      <c r="I81" s="151" t="s">
        <v>240</v>
      </c>
      <c r="J81" s="151" t="s">
        <v>241</v>
      </c>
      <c r="K81" s="150" t="s">
        <v>283</v>
      </c>
      <c r="L81" s="189">
        <v>520</v>
      </c>
      <c r="M81" s="189">
        <v>576</v>
      </c>
      <c r="N81" s="189">
        <v>82.764726786234249</v>
      </c>
      <c r="O81" s="189">
        <v>79.874902190863438</v>
      </c>
    </row>
    <row r="82" spans="1:15">
      <c r="A82" s="150" t="s">
        <v>147</v>
      </c>
      <c r="B82" s="150">
        <v>5</v>
      </c>
      <c r="C82" s="150">
        <v>5</v>
      </c>
      <c r="D82" s="150" t="s">
        <v>231</v>
      </c>
      <c r="E82" s="150" t="s">
        <v>231</v>
      </c>
      <c r="F82" s="150">
        <v>63</v>
      </c>
      <c r="G82" s="150" t="s">
        <v>234</v>
      </c>
      <c r="H82" s="150" t="s">
        <v>136</v>
      </c>
      <c r="I82" s="151" t="s">
        <v>240</v>
      </c>
      <c r="J82" s="151" t="s">
        <v>241</v>
      </c>
      <c r="K82" s="150" t="s">
        <v>283</v>
      </c>
      <c r="L82" s="189">
        <v>846</v>
      </c>
      <c r="M82" s="189">
        <v>814</v>
      </c>
      <c r="N82" s="189">
        <v>348.75492828059078</v>
      </c>
      <c r="O82" s="189">
        <v>241.30893062628246</v>
      </c>
    </row>
    <row r="83" spans="1:15">
      <c r="A83" s="150" t="s">
        <v>147</v>
      </c>
      <c r="B83" s="150">
        <v>5</v>
      </c>
      <c r="C83" s="150">
        <v>5</v>
      </c>
      <c r="D83" s="150" t="s">
        <v>231</v>
      </c>
      <c r="E83" s="150" t="s">
        <v>231</v>
      </c>
      <c r="F83" s="150">
        <v>63</v>
      </c>
      <c r="G83" s="150" t="s">
        <v>234</v>
      </c>
      <c r="H83" s="150" t="s">
        <v>136</v>
      </c>
      <c r="I83" s="151" t="s">
        <v>240</v>
      </c>
      <c r="J83" s="151" t="s">
        <v>241</v>
      </c>
      <c r="K83" s="150" t="s">
        <v>283</v>
      </c>
      <c r="L83" s="189">
        <v>1076</v>
      </c>
      <c r="M83" s="189">
        <v>1678</v>
      </c>
      <c r="N83" s="189">
        <v>212.67345861672538</v>
      </c>
      <c r="O83" s="189">
        <v>570.41213170829383</v>
      </c>
    </row>
    <row r="84" spans="1:15">
      <c r="A84" s="150" t="s">
        <v>147</v>
      </c>
      <c r="B84" s="150">
        <v>5</v>
      </c>
      <c r="C84" s="150">
        <v>5</v>
      </c>
      <c r="D84" s="150" t="s">
        <v>231</v>
      </c>
      <c r="E84" s="150" t="s">
        <v>231</v>
      </c>
      <c r="F84" s="150">
        <v>63</v>
      </c>
      <c r="G84" s="150" t="s">
        <v>234</v>
      </c>
      <c r="H84" s="150" t="s">
        <v>136</v>
      </c>
      <c r="I84" s="151" t="s">
        <v>239</v>
      </c>
      <c r="J84" s="150" t="s">
        <v>240</v>
      </c>
      <c r="K84" s="150" t="s">
        <v>283</v>
      </c>
      <c r="L84" s="189">
        <v>2962</v>
      </c>
      <c r="M84" s="189">
        <v>4512</v>
      </c>
      <c r="N84" s="189">
        <v>1283.8691522113927</v>
      </c>
      <c r="O84" s="189">
        <v>4175.8496141503947</v>
      </c>
    </row>
    <row r="85" spans="1:15">
      <c r="A85" s="150" t="s">
        <v>147</v>
      </c>
      <c r="B85" s="150">
        <v>5</v>
      </c>
      <c r="C85" s="150">
        <v>5</v>
      </c>
      <c r="D85" s="150" t="s">
        <v>231</v>
      </c>
      <c r="E85" s="150" t="s">
        <v>231</v>
      </c>
      <c r="F85" s="150">
        <v>63</v>
      </c>
      <c r="G85" s="150" t="s">
        <v>234</v>
      </c>
      <c r="H85" s="150" t="s">
        <v>136</v>
      </c>
      <c r="I85" s="151" t="s">
        <v>239</v>
      </c>
      <c r="J85" s="151" t="s">
        <v>241</v>
      </c>
      <c r="K85" s="150" t="s">
        <v>283</v>
      </c>
      <c r="L85" s="189">
        <v>1624</v>
      </c>
      <c r="M85" s="189">
        <v>1538</v>
      </c>
      <c r="N85" s="189">
        <v>1503.8882937239721</v>
      </c>
      <c r="O85" s="189">
        <v>801.69819757811604</v>
      </c>
    </row>
    <row r="86" spans="1:15">
      <c r="A86" s="150" t="s">
        <v>147</v>
      </c>
      <c r="B86" s="150">
        <v>5</v>
      </c>
      <c r="C86" s="150">
        <v>5</v>
      </c>
      <c r="D86" s="150" t="s">
        <v>231</v>
      </c>
      <c r="E86" s="150" t="s">
        <v>231</v>
      </c>
      <c r="F86" s="150">
        <v>63</v>
      </c>
      <c r="G86" s="150" t="s">
        <v>234</v>
      </c>
      <c r="H86" s="150" t="s">
        <v>136</v>
      </c>
      <c r="I86" s="151" t="s">
        <v>239</v>
      </c>
      <c r="J86" s="151" t="s">
        <v>241</v>
      </c>
      <c r="K86" s="150" t="s">
        <v>283</v>
      </c>
      <c r="L86" s="189">
        <v>1950</v>
      </c>
      <c r="M86" s="189">
        <v>1978</v>
      </c>
      <c r="N86" s="189">
        <v>909.45038347344712</v>
      </c>
      <c r="O86" s="189">
        <v>480.48933390867273</v>
      </c>
    </row>
    <row r="87" spans="1:15">
      <c r="A87" s="150" t="s">
        <v>147</v>
      </c>
      <c r="B87" s="150">
        <v>5</v>
      </c>
      <c r="C87" s="150">
        <v>5</v>
      </c>
      <c r="D87" s="150" t="s">
        <v>231</v>
      </c>
      <c r="E87" s="150" t="s">
        <v>231</v>
      </c>
      <c r="F87" s="150">
        <v>63</v>
      </c>
      <c r="G87" s="150" t="s">
        <v>234</v>
      </c>
      <c r="H87" s="150" t="s">
        <v>136</v>
      </c>
      <c r="I87" s="151" t="s">
        <v>239</v>
      </c>
      <c r="J87" s="151" t="s">
        <v>241</v>
      </c>
      <c r="K87" s="150" t="s">
        <v>283</v>
      </c>
      <c r="L87" s="189">
        <v>1212</v>
      </c>
      <c r="M87" s="189">
        <v>2168</v>
      </c>
      <c r="N87" s="189">
        <v>561.40003562522156</v>
      </c>
      <c r="O87" s="189">
        <v>1421.5906583823628</v>
      </c>
    </row>
    <row r="88" spans="1:15">
      <c r="A88" s="150" t="s">
        <v>147</v>
      </c>
      <c r="B88" s="150">
        <v>5</v>
      </c>
      <c r="C88" s="150">
        <v>5</v>
      </c>
      <c r="D88" s="150" t="s">
        <v>231</v>
      </c>
      <c r="E88" s="150" t="s">
        <v>231</v>
      </c>
      <c r="F88" s="150">
        <v>63</v>
      </c>
      <c r="G88" s="150" t="s">
        <v>234</v>
      </c>
      <c r="H88" s="150" t="s">
        <v>136</v>
      </c>
      <c r="I88" s="151" t="s">
        <v>239</v>
      </c>
      <c r="J88" s="151" t="s">
        <v>241</v>
      </c>
      <c r="K88" s="150" t="s">
        <v>283</v>
      </c>
      <c r="L88" s="189">
        <v>2566</v>
      </c>
      <c r="M88" s="189">
        <v>1488</v>
      </c>
      <c r="N88" s="189">
        <v>1634.3744980878771</v>
      </c>
      <c r="O88" s="189">
        <v>850.62917890229937</v>
      </c>
    </row>
    <row r="89" spans="1:15">
      <c r="A89" s="150" t="s">
        <v>148</v>
      </c>
      <c r="B89" s="150">
        <v>5</v>
      </c>
      <c r="C89" s="150">
        <v>5</v>
      </c>
      <c r="D89" s="150" t="s">
        <v>231</v>
      </c>
      <c r="E89" s="150" t="s">
        <v>231</v>
      </c>
      <c r="F89" s="150">
        <v>56</v>
      </c>
      <c r="G89" s="150" t="s">
        <v>234</v>
      </c>
      <c r="H89" s="150" t="s">
        <v>136</v>
      </c>
      <c r="I89" s="151" t="s">
        <v>239</v>
      </c>
      <c r="J89" s="151" t="s">
        <v>241</v>
      </c>
      <c r="K89" s="150" t="s">
        <v>283</v>
      </c>
      <c r="L89" s="189">
        <v>1674</v>
      </c>
      <c r="M89" s="189">
        <v>3936</v>
      </c>
      <c r="N89" s="189">
        <v>293.47913043349439</v>
      </c>
      <c r="O89" s="189">
        <v>1639.3535311213382</v>
      </c>
    </row>
    <row r="90" spans="1:15">
      <c r="A90" s="150" t="s">
        <v>148</v>
      </c>
      <c r="B90" s="150">
        <v>5</v>
      </c>
      <c r="C90" s="150">
        <v>5</v>
      </c>
      <c r="D90" s="150" t="s">
        <v>231</v>
      </c>
      <c r="E90" s="150" t="s">
        <v>231</v>
      </c>
      <c r="F90" s="150">
        <v>56</v>
      </c>
      <c r="G90" s="150" t="s">
        <v>234</v>
      </c>
      <c r="H90" s="150" t="s">
        <v>136</v>
      </c>
      <c r="I90" s="151" t="s">
        <v>239</v>
      </c>
      <c r="J90" s="151" t="s">
        <v>241</v>
      </c>
      <c r="K90" s="150" t="s">
        <v>283</v>
      </c>
      <c r="L90" s="189">
        <v>1898</v>
      </c>
      <c r="M90" s="189">
        <v>1998</v>
      </c>
      <c r="N90" s="189">
        <v>699.44263524609369</v>
      </c>
      <c r="O90" s="189">
        <v>522.46530985319976</v>
      </c>
    </row>
    <row r="91" spans="1:15">
      <c r="A91" s="150" t="s">
        <v>148</v>
      </c>
      <c r="B91" s="150">
        <v>5</v>
      </c>
      <c r="C91" s="150">
        <v>5</v>
      </c>
      <c r="D91" s="150" t="s">
        <v>231</v>
      </c>
      <c r="E91" s="150" t="s">
        <v>231</v>
      </c>
      <c r="F91" s="150">
        <v>56</v>
      </c>
      <c r="G91" s="150" t="s">
        <v>234</v>
      </c>
      <c r="H91" s="150" t="s">
        <v>136</v>
      </c>
      <c r="I91" s="151" t="s">
        <v>239</v>
      </c>
      <c r="J91" s="151" t="s">
        <v>241</v>
      </c>
      <c r="K91" s="150" t="s">
        <v>283</v>
      </c>
      <c r="L91" s="189">
        <v>2058</v>
      </c>
      <c r="M91" s="189">
        <v>3102</v>
      </c>
      <c r="N91" s="189">
        <v>1116.8348132109779</v>
      </c>
      <c r="O91" s="189">
        <v>1357.9469798191681</v>
      </c>
    </row>
    <row r="92" spans="1:15">
      <c r="A92" s="150" t="s">
        <v>148</v>
      </c>
      <c r="B92" s="150">
        <v>5</v>
      </c>
      <c r="C92" s="150">
        <v>5</v>
      </c>
      <c r="D92" s="150" t="s">
        <v>231</v>
      </c>
      <c r="E92" s="150" t="s">
        <v>231</v>
      </c>
      <c r="F92" s="150">
        <v>56</v>
      </c>
      <c r="G92" s="150" t="s">
        <v>234</v>
      </c>
      <c r="H92" s="150" t="s">
        <v>136</v>
      </c>
      <c r="I92" s="151" t="s">
        <v>239</v>
      </c>
      <c r="J92" s="151" t="s">
        <v>241</v>
      </c>
      <c r="K92" s="150" t="s">
        <v>283</v>
      </c>
      <c r="L92" s="189">
        <v>2372</v>
      </c>
      <c r="M92" s="189">
        <v>2576</v>
      </c>
      <c r="N92" s="189">
        <v>637.90281391447081</v>
      </c>
      <c r="O92" s="189">
        <v>1028.9946549909771</v>
      </c>
    </row>
    <row r="93" spans="1:15">
      <c r="A93" s="150" t="s">
        <v>148</v>
      </c>
      <c r="B93" s="150">
        <v>5</v>
      </c>
      <c r="C93" s="150">
        <v>5</v>
      </c>
      <c r="D93" s="150" t="s">
        <v>231</v>
      </c>
      <c r="E93" s="150" t="s">
        <v>231</v>
      </c>
      <c r="F93" s="150">
        <v>56</v>
      </c>
      <c r="G93" s="150" t="s">
        <v>234</v>
      </c>
      <c r="H93" s="150" t="s">
        <v>136</v>
      </c>
      <c r="I93" s="151" t="s">
        <v>239</v>
      </c>
      <c r="J93" s="151" t="s">
        <v>241</v>
      </c>
      <c r="K93" s="150" t="s">
        <v>283</v>
      </c>
      <c r="L93" s="189">
        <v>1622</v>
      </c>
      <c r="M93" s="189">
        <v>2500</v>
      </c>
      <c r="N93" s="189">
        <v>331.31555955010623</v>
      </c>
      <c r="O93" s="189">
        <v>374.16573867739413</v>
      </c>
    </row>
    <row r="94" spans="1:15">
      <c r="A94" s="150" t="s">
        <v>148</v>
      </c>
      <c r="B94" s="150">
        <v>5</v>
      </c>
      <c r="C94" s="150">
        <v>5</v>
      </c>
      <c r="D94" s="150" t="s">
        <v>231</v>
      </c>
      <c r="E94" s="150" t="s">
        <v>231</v>
      </c>
      <c r="F94" s="150">
        <v>56</v>
      </c>
      <c r="G94" s="150" t="s">
        <v>234</v>
      </c>
      <c r="H94" s="150" t="s">
        <v>136</v>
      </c>
      <c r="I94" s="151" t="s">
        <v>239</v>
      </c>
      <c r="J94" s="151" t="s">
        <v>241</v>
      </c>
      <c r="K94" s="150" t="s">
        <v>283</v>
      </c>
      <c r="L94" s="189">
        <v>1784</v>
      </c>
      <c r="M94" s="189">
        <v>2122</v>
      </c>
      <c r="N94" s="189">
        <v>411.61875564653269</v>
      </c>
      <c r="O94" s="189">
        <v>988.84781437792537</v>
      </c>
    </row>
    <row r="95" spans="1:15">
      <c r="A95" s="150" t="s">
        <v>149</v>
      </c>
      <c r="B95" s="150">
        <v>6</v>
      </c>
      <c r="C95" s="150">
        <v>6</v>
      </c>
      <c r="D95" s="150" t="s">
        <v>231</v>
      </c>
      <c r="E95" s="150" t="s">
        <v>231</v>
      </c>
      <c r="F95" s="150">
        <v>36</v>
      </c>
      <c r="G95" s="150" t="s">
        <v>234</v>
      </c>
      <c r="H95" s="150" t="s">
        <v>137</v>
      </c>
      <c r="I95" s="150" t="s">
        <v>132</v>
      </c>
      <c r="J95" s="150" t="s">
        <v>132</v>
      </c>
      <c r="K95" s="150" t="s">
        <v>283</v>
      </c>
      <c r="L95" s="190" t="s">
        <v>132</v>
      </c>
      <c r="M95" s="190" t="s">
        <v>132</v>
      </c>
      <c r="N95" s="190" t="s">
        <v>132</v>
      </c>
      <c r="O95" s="19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90" t="s">
        <v>132</v>
      </c>
      <c r="M96" s="190" t="s">
        <v>132</v>
      </c>
      <c r="N96" s="190" t="s">
        <v>132</v>
      </c>
      <c r="O96" s="19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90" t="s">
        <v>132</v>
      </c>
      <c r="M97" s="190" t="s">
        <v>132</v>
      </c>
      <c r="N97" s="190" t="s">
        <v>132</v>
      </c>
      <c r="O97" s="19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90" t="s">
        <v>132</v>
      </c>
      <c r="M98" s="190" t="s">
        <v>132</v>
      </c>
      <c r="N98" s="190" t="s">
        <v>132</v>
      </c>
      <c r="O98" s="19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90" t="s">
        <v>132</v>
      </c>
      <c r="M99" s="190" t="s">
        <v>132</v>
      </c>
      <c r="N99" s="190" t="s">
        <v>132</v>
      </c>
      <c r="O99" s="19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90" t="s">
        <v>132</v>
      </c>
      <c r="M100" s="190" t="s">
        <v>132</v>
      </c>
      <c r="N100" s="190" t="s">
        <v>132</v>
      </c>
      <c r="O100" s="190" t="s">
        <v>132</v>
      </c>
    </row>
  </sheetData>
  <pageMargins left="0.75" right="0.75" top="1" bottom="1" header="0.5" footer="0.5"/>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00"/>
  <sheetViews>
    <sheetView workbookViewId="0">
      <selection activeCell="P13" sqref="P13"/>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5" width="10.83203125" style="152"/>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303</v>
      </c>
      <c r="M1" s="150" t="s">
        <v>304</v>
      </c>
      <c r="N1" s="150" t="s">
        <v>305</v>
      </c>
      <c r="O1" s="150" t="s">
        <v>306</v>
      </c>
    </row>
    <row r="2" spans="1:15">
      <c r="A2" s="150" t="s">
        <v>119</v>
      </c>
      <c r="B2" s="150">
        <v>3</v>
      </c>
      <c r="C2" s="150">
        <v>3</v>
      </c>
      <c r="D2" s="150" t="s">
        <v>233</v>
      </c>
      <c r="E2" s="150" t="s">
        <v>229</v>
      </c>
      <c r="F2" s="150">
        <v>42</v>
      </c>
      <c r="G2" s="150" t="s">
        <v>234</v>
      </c>
      <c r="H2" s="150" t="s">
        <v>136</v>
      </c>
      <c r="I2" s="150" t="s">
        <v>132</v>
      </c>
      <c r="J2" s="150" t="s">
        <v>132</v>
      </c>
      <c r="K2" s="150" t="s">
        <v>132</v>
      </c>
      <c r="L2" s="190" t="s">
        <v>132</v>
      </c>
      <c r="M2" s="190" t="s">
        <v>132</v>
      </c>
      <c r="N2" s="190" t="s">
        <v>132</v>
      </c>
      <c r="O2" s="190" t="s">
        <v>132</v>
      </c>
    </row>
    <row r="3" spans="1:15">
      <c r="A3" s="150" t="s">
        <v>119</v>
      </c>
      <c r="B3" s="150">
        <v>3</v>
      </c>
      <c r="C3" s="150">
        <v>3</v>
      </c>
      <c r="D3" s="150" t="s">
        <v>233</v>
      </c>
      <c r="E3" s="150" t="s">
        <v>229</v>
      </c>
      <c r="F3" s="150">
        <v>42</v>
      </c>
      <c r="G3" s="150" t="s">
        <v>234</v>
      </c>
      <c r="H3" s="150" t="s">
        <v>136</v>
      </c>
      <c r="I3" s="150" t="s">
        <v>132</v>
      </c>
      <c r="J3" s="150" t="s">
        <v>132</v>
      </c>
      <c r="K3" s="150" t="s">
        <v>132</v>
      </c>
      <c r="L3" s="190" t="s">
        <v>132</v>
      </c>
      <c r="M3" s="190" t="s">
        <v>132</v>
      </c>
      <c r="N3" s="190" t="s">
        <v>132</v>
      </c>
      <c r="O3" s="190" t="s">
        <v>132</v>
      </c>
    </row>
    <row r="4" spans="1:15">
      <c r="A4" s="150" t="s">
        <v>120</v>
      </c>
      <c r="B4" s="150">
        <v>5</v>
      </c>
      <c r="C4" s="150">
        <v>5</v>
      </c>
      <c r="D4" s="150" t="s">
        <v>231</v>
      </c>
      <c r="E4" s="150" t="s">
        <v>231</v>
      </c>
      <c r="F4" s="150">
        <v>63</v>
      </c>
      <c r="G4" s="150" t="s">
        <v>234</v>
      </c>
      <c r="H4" s="150" t="s">
        <v>136</v>
      </c>
      <c r="I4" s="150" t="s">
        <v>239</v>
      </c>
      <c r="J4" s="150" t="s">
        <v>239</v>
      </c>
      <c r="K4" s="150" t="s">
        <v>284</v>
      </c>
      <c r="L4" s="190" t="s">
        <v>132</v>
      </c>
      <c r="M4" s="190" t="s">
        <v>132</v>
      </c>
      <c r="N4" s="190" t="s">
        <v>132</v>
      </c>
      <c r="O4" s="190" t="s">
        <v>132</v>
      </c>
    </row>
    <row r="5" spans="1:15">
      <c r="A5" s="150" t="s">
        <v>120</v>
      </c>
      <c r="B5" s="150">
        <v>5</v>
      </c>
      <c r="C5" s="150">
        <v>5</v>
      </c>
      <c r="D5" s="150" t="s">
        <v>231</v>
      </c>
      <c r="E5" s="150" t="s">
        <v>231</v>
      </c>
      <c r="F5" s="150">
        <v>63</v>
      </c>
      <c r="G5" s="150" t="s">
        <v>234</v>
      </c>
      <c r="H5" s="150" t="s">
        <v>136</v>
      </c>
      <c r="I5" s="150" t="s">
        <v>239</v>
      </c>
      <c r="J5" s="150" t="s">
        <v>239</v>
      </c>
      <c r="K5" s="150" t="s">
        <v>284</v>
      </c>
      <c r="L5" s="190" t="s">
        <v>132</v>
      </c>
      <c r="M5" s="190" t="s">
        <v>132</v>
      </c>
      <c r="N5" s="190" t="s">
        <v>132</v>
      </c>
      <c r="O5" s="190" t="s">
        <v>132</v>
      </c>
    </row>
    <row r="6" spans="1:15">
      <c r="A6" s="150" t="s">
        <v>120</v>
      </c>
      <c r="B6" s="150">
        <v>5</v>
      </c>
      <c r="C6" s="150">
        <v>5</v>
      </c>
      <c r="D6" s="150" t="s">
        <v>231</v>
      </c>
      <c r="E6" s="150" t="s">
        <v>231</v>
      </c>
      <c r="F6" s="150">
        <v>63</v>
      </c>
      <c r="G6" s="150" t="s">
        <v>234</v>
      </c>
      <c r="H6" s="150" t="s">
        <v>136</v>
      </c>
      <c r="I6" s="150" t="s">
        <v>239</v>
      </c>
      <c r="J6" s="150" t="s">
        <v>239</v>
      </c>
      <c r="K6" s="150" t="s">
        <v>284</v>
      </c>
      <c r="L6" s="190" t="s">
        <v>132</v>
      </c>
      <c r="M6" s="190" t="s">
        <v>132</v>
      </c>
      <c r="N6" s="190" t="s">
        <v>132</v>
      </c>
      <c r="O6" s="190" t="s">
        <v>132</v>
      </c>
    </row>
    <row r="7" spans="1:15">
      <c r="A7" s="150" t="s">
        <v>120</v>
      </c>
      <c r="B7" s="150">
        <v>5</v>
      </c>
      <c r="C7" s="150">
        <v>5</v>
      </c>
      <c r="D7" s="150" t="s">
        <v>231</v>
      </c>
      <c r="E7" s="150" t="s">
        <v>231</v>
      </c>
      <c r="F7" s="150">
        <v>63</v>
      </c>
      <c r="G7" s="150" t="s">
        <v>234</v>
      </c>
      <c r="H7" s="150" t="s">
        <v>136</v>
      </c>
      <c r="I7" s="150" t="s">
        <v>239</v>
      </c>
      <c r="J7" s="150" t="s">
        <v>239</v>
      </c>
      <c r="K7" s="150" t="s">
        <v>284</v>
      </c>
      <c r="L7" s="190" t="s">
        <v>132</v>
      </c>
      <c r="M7" s="190" t="s">
        <v>132</v>
      </c>
      <c r="N7" s="190" t="s">
        <v>132</v>
      </c>
      <c r="O7" s="190" t="s">
        <v>132</v>
      </c>
    </row>
    <row r="8" spans="1:15">
      <c r="A8" s="150" t="s">
        <v>120</v>
      </c>
      <c r="B8" s="150">
        <v>5</v>
      </c>
      <c r="C8" s="150">
        <v>5</v>
      </c>
      <c r="D8" s="150" t="s">
        <v>231</v>
      </c>
      <c r="E8" s="150" t="s">
        <v>231</v>
      </c>
      <c r="F8" s="150">
        <v>63</v>
      </c>
      <c r="G8" s="150" t="s">
        <v>234</v>
      </c>
      <c r="H8" s="150" t="s">
        <v>136</v>
      </c>
      <c r="I8" s="150" t="s">
        <v>239</v>
      </c>
      <c r="J8" s="150" t="s">
        <v>239</v>
      </c>
      <c r="K8" s="150" t="s">
        <v>284</v>
      </c>
      <c r="L8" s="190" t="s">
        <v>132</v>
      </c>
      <c r="M8" s="190" t="s">
        <v>132</v>
      </c>
      <c r="N8" s="190" t="s">
        <v>132</v>
      </c>
      <c r="O8" s="190" t="s">
        <v>132</v>
      </c>
    </row>
    <row r="9" spans="1:15">
      <c r="A9" s="150" t="s">
        <v>120</v>
      </c>
      <c r="B9" s="150">
        <v>5</v>
      </c>
      <c r="C9" s="150">
        <v>5</v>
      </c>
      <c r="D9" s="150" t="s">
        <v>231</v>
      </c>
      <c r="E9" s="150" t="s">
        <v>231</v>
      </c>
      <c r="F9" s="150">
        <v>63</v>
      </c>
      <c r="G9" s="150" t="s">
        <v>234</v>
      </c>
      <c r="H9" s="150" t="s">
        <v>136</v>
      </c>
      <c r="I9" s="150" t="s">
        <v>239</v>
      </c>
      <c r="J9" s="150" t="s">
        <v>239</v>
      </c>
      <c r="K9" s="150" t="s">
        <v>284</v>
      </c>
      <c r="L9" s="190" t="s">
        <v>132</v>
      </c>
      <c r="M9" s="190" t="s">
        <v>132</v>
      </c>
      <c r="N9" s="190" t="s">
        <v>132</v>
      </c>
      <c r="O9" s="19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89">
        <v>3316.6666666666665</v>
      </c>
      <c r="M10" s="189">
        <v>3700</v>
      </c>
      <c r="N10" s="189">
        <v>594.69880331699608</v>
      </c>
      <c r="O10" s="189">
        <v>804.9844718999243</v>
      </c>
    </row>
    <row r="11" spans="1:15">
      <c r="A11" s="150" t="s">
        <v>130</v>
      </c>
      <c r="B11" s="150">
        <v>6</v>
      </c>
      <c r="C11" s="150">
        <v>6</v>
      </c>
      <c r="D11" s="150" t="s">
        <v>231</v>
      </c>
      <c r="E11" s="150" t="s">
        <v>231</v>
      </c>
      <c r="F11" s="150">
        <v>63</v>
      </c>
      <c r="G11" s="150" t="s">
        <v>234</v>
      </c>
      <c r="H11" s="150" t="s">
        <v>136</v>
      </c>
      <c r="I11" s="150" t="s">
        <v>239</v>
      </c>
      <c r="J11" s="150" t="s">
        <v>239</v>
      </c>
      <c r="K11" s="150" t="s">
        <v>283</v>
      </c>
      <c r="L11" s="189">
        <v>3013.3333333333335</v>
      </c>
      <c r="M11" s="189">
        <v>3383.3333333333335</v>
      </c>
      <c r="N11" s="189">
        <v>942.05449240830399</v>
      </c>
      <c r="O11" s="189">
        <v>360.09258068816922</v>
      </c>
    </row>
    <row r="12" spans="1:15">
      <c r="A12" s="150" t="s">
        <v>130</v>
      </c>
      <c r="B12" s="150">
        <v>6</v>
      </c>
      <c r="C12" s="150">
        <v>6</v>
      </c>
      <c r="D12" s="150" t="s">
        <v>231</v>
      </c>
      <c r="E12" s="150" t="s">
        <v>231</v>
      </c>
      <c r="F12" s="150">
        <v>63</v>
      </c>
      <c r="G12" s="150" t="s">
        <v>234</v>
      </c>
      <c r="H12" s="150" t="s">
        <v>136</v>
      </c>
      <c r="I12" s="150" t="s">
        <v>239</v>
      </c>
      <c r="J12" s="150" t="s">
        <v>239</v>
      </c>
      <c r="K12" s="150" t="s">
        <v>283</v>
      </c>
      <c r="L12" s="189">
        <v>2368.3333333333335</v>
      </c>
      <c r="M12" s="189">
        <v>2500</v>
      </c>
      <c r="N12" s="189">
        <v>497.61095915048651</v>
      </c>
      <c r="O12" s="189">
        <v>357.77087639996637</v>
      </c>
    </row>
    <row r="13" spans="1:15">
      <c r="A13" s="150" t="s">
        <v>130</v>
      </c>
      <c r="B13" s="150">
        <v>6</v>
      </c>
      <c r="C13" s="150">
        <v>6</v>
      </c>
      <c r="D13" s="150" t="s">
        <v>231</v>
      </c>
      <c r="E13" s="150" t="s">
        <v>231</v>
      </c>
      <c r="F13" s="150">
        <v>63</v>
      </c>
      <c r="G13" s="150" t="s">
        <v>234</v>
      </c>
      <c r="H13" s="150" t="s">
        <v>136</v>
      </c>
      <c r="I13" s="150" t="s">
        <v>239</v>
      </c>
      <c r="J13" s="150" t="s">
        <v>240</v>
      </c>
      <c r="K13" s="150" t="s">
        <v>284</v>
      </c>
      <c r="L13" s="189">
        <v>3700</v>
      </c>
      <c r="M13" s="189">
        <v>3750</v>
      </c>
      <c r="N13" s="189">
        <v>609.91802727907623</v>
      </c>
      <c r="O13" s="189">
        <v>423.08391602612357</v>
      </c>
    </row>
    <row r="14" spans="1:15">
      <c r="A14" s="150" t="s">
        <v>131</v>
      </c>
      <c r="B14" s="150">
        <v>3</v>
      </c>
      <c r="C14" s="150">
        <v>3</v>
      </c>
      <c r="D14" s="150" t="s">
        <v>233</v>
      </c>
      <c r="E14" s="150" t="s">
        <v>228</v>
      </c>
      <c r="F14" s="150">
        <v>58</v>
      </c>
      <c r="G14" s="150" t="s">
        <v>234</v>
      </c>
      <c r="H14" s="150" t="s">
        <v>136</v>
      </c>
      <c r="I14" s="150" t="s">
        <v>132</v>
      </c>
      <c r="J14" s="150" t="s">
        <v>132</v>
      </c>
      <c r="K14" s="150" t="s">
        <v>284</v>
      </c>
      <c r="L14" s="190" t="s">
        <v>132</v>
      </c>
      <c r="M14" s="190" t="s">
        <v>132</v>
      </c>
      <c r="N14" s="190" t="s">
        <v>132</v>
      </c>
      <c r="O14" s="19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90" t="s">
        <v>132</v>
      </c>
      <c r="M15" s="190" t="s">
        <v>132</v>
      </c>
      <c r="N15" s="190" t="s">
        <v>132</v>
      </c>
      <c r="O15" s="19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90" t="s">
        <v>132</v>
      </c>
      <c r="M16" s="190" t="s">
        <v>132</v>
      </c>
      <c r="N16" s="190" t="s">
        <v>132</v>
      </c>
      <c r="O16" s="19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90" t="s">
        <v>132</v>
      </c>
      <c r="M17" s="190" t="s">
        <v>132</v>
      </c>
      <c r="N17" s="190" t="s">
        <v>132</v>
      </c>
      <c r="O17" s="19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90" t="s">
        <v>132</v>
      </c>
      <c r="M18" s="190" t="s">
        <v>132</v>
      </c>
      <c r="N18" s="190" t="s">
        <v>132</v>
      </c>
      <c r="O18" s="19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90" t="s">
        <v>132</v>
      </c>
      <c r="M19" s="190" t="s">
        <v>132</v>
      </c>
      <c r="N19" s="190" t="s">
        <v>132</v>
      </c>
      <c r="O19" s="19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90" t="s">
        <v>132</v>
      </c>
      <c r="M20" s="190" t="s">
        <v>132</v>
      </c>
      <c r="N20" s="190" t="s">
        <v>132</v>
      </c>
      <c r="O20" s="19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89">
        <v>9045.8713208567187</v>
      </c>
      <c r="M21" s="189">
        <v>11137.421825712077</v>
      </c>
      <c r="N21" s="189">
        <v>1083.9490655580782</v>
      </c>
      <c r="O21" s="189">
        <v>384.43992778638585</v>
      </c>
    </row>
    <row r="22" spans="1:15">
      <c r="A22" s="150" t="s">
        <v>133</v>
      </c>
      <c r="B22" s="150">
        <v>8</v>
      </c>
      <c r="C22" s="150">
        <v>8</v>
      </c>
      <c r="D22" s="150" t="s">
        <v>231</v>
      </c>
      <c r="E22" s="150" t="s">
        <v>231</v>
      </c>
      <c r="F22" s="150">
        <v>63</v>
      </c>
      <c r="G22" s="150" t="s">
        <v>234</v>
      </c>
      <c r="H22" s="150" t="s">
        <v>137</v>
      </c>
      <c r="I22" s="150" t="s">
        <v>239</v>
      </c>
      <c r="J22" s="151" t="s">
        <v>241</v>
      </c>
      <c r="K22" s="150" t="s">
        <v>284</v>
      </c>
      <c r="L22" s="189">
        <v>8337.1490104965324</v>
      </c>
      <c r="M22" s="189">
        <v>10182.62403330732</v>
      </c>
      <c r="N22" s="189">
        <v>374.15283820078446</v>
      </c>
      <c r="O22" s="189">
        <v>1171.1440924522731</v>
      </c>
    </row>
    <row r="23" spans="1:15">
      <c r="A23" s="150" t="s">
        <v>133</v>
      </c>
      <c r="B23" s="150">
        <v>8</v>
      </c>
      <c r="C23" s="150">
        <v>8</v>
      </c>
      <c r="D23" s="150" t="s">
        <v>231</v>
      </c>
      <c r="E23" s="150" t="s">
        <v>231</v>
      </c>
      <c r="F23" s="150">
        <v>63</v>
      </c>
      <c r="G23" s="150" t="s">
        <v>234</v>
      </c>
      <c r="H23" s="150" t="s">
        <v>137</v>
      </c>
      <c r="I23" s="150" t="s">
        <v>240</v>
      </c>
      <c r="J23" s="151" t="s">
        <v>241</v>
      </c>
      <c r="K23" s="150" t="s">
        <v>284</v>
      </c>
      <c r="L23" s="189">
        <v>8881.6620027953904</v>
      </c>
      <c r="M23" s="189">
        <v>11066.637487452297</v>
      </c>
      <c r="N23" s="189">
        <v>627.96934992589206</v>
      </c>
      <c r="O23" s="189">
        <v>263.75350749815783</v>
      </c>
    </row>
    <row r="24" spans="1:15">
      <c r="A24" s="150" t="s">
        <v>133</v>
      </c>
      <c r="B24" s="150">
        <v>8</v>
      </c>
      <c r="C24" s="150">
        <v>8</v>
      </c>
      <c r="D24" s="150" t="s">
        <v>231</v>
      </c>
      <c r="E24" s="150" t="s">
        <v>231</v>
      </c>
      <c r="F24" s="150">
        <v>63</v>
      </c>
      <c r="G24" s="150" t="s">
        <v>234</v>
      </c>
      <c r="H24" s="150" t="s">
        <v>137</v>
      </c>
      <c r="I24" s="150" t="s">
        <v>239</v>
      </c>
      <c r="J24" s="151" t="s">
        <v>241</v>
      </c>
      <c r="K24" s="150" t="s">
        <v>284</v>
      </c>
      <c r="L24" s="189">
        <v>8407.4958337974931</v>
      </c>
      <c r="M24" s="189">
        <v>9360.4455263852542</v>
      </c>
      <c r="N24" s="189">
        <v>332.35309393668842</v>
      </c>
      <c r="O24" s="189">
        <v>1210.1790658624925</v>
      </c>
    </row>
    <row r="25" spans="1:15">
      <c r="A25" s="150" t="s">
        <v>134</v>
      </c>
      <c r="B25" s="150">
        <v>4</v>
      </c>
      <c r="C25" s="150">
        <v>4</v>
      </c>
      <c r="D25" s="150" t="s">
        <v>231</v>
      </c>
      <c r="E25" s="150" t="s">
        <v>231</v>
      </c>
      <c r="F25" s="150">
        <v>72</v>
      </c>
      <c r="G25" s="150" t="s">
        <v>235</v>
      </c>
      <c r="H25" s="150" t="s">
        <v>136</v>
      </c>
      <c r="I25" s="150" t="s">
        <v>240</v>
      </c>
      <c r="J25" s="151" t="s">
        <v>241</v>
      </c>
      <c r="K25" s="150" t="s">
        <v>284</v>
      </c>
      <c r="L25" s="190" t="s">
        <v>132</v>
      </c>
      <c r="M25" s="190" t="s">
        <v>132</v>
      </c>
      <c r="N25" s="190" t="s">
        <v>132</v>
      </c>
      <c r="O25" s="19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91">
        <v>6681.2406298333335</v>
      </c>
      <c r="M26" s="191">
        <v>8058.5486051666667</v>
      </c>
      <c r="N26" s="190">
        <v>668.12406298333337</v>
      </c>
      <c r="O26" s="190">
        <v>805.85486051666669</v>
      </c>
    </row>
    <row r="27" spans="1:15">
      <c r="A27" s="150" t="s">
        <v>135</v>
      </c>
      <c r="B27" s="150">
        <v>6</v>
      </c>
      <c r="C27" s="150">
        <v>6</v>
      </c>
      <c r="D27" s="150" t="s">
        <v>231</v>
      </c>
      <c r="E27" s="150" t="s">
        <v>231</v>
      </c>
      <c r="F27" s="150">
        <v>79</v>
      </c>
      <c r="G27" s="150" t="s">
        <v>235</v>
      </c>
      <c r="H27" s="150" t="s">
        <v>136</v>
      </c>
      <c r="I27" s="150" t="s">
        <v>239</v>
      </c>
      <c r="J27" s="150" t="s">
        <v>240</v>
      </c>
      <c r="K27" s="150" t="s">
        <v>284</v>
      </c>
      <c r="L27" s="191">
        <v>8457.9937708333327</v>
      </c>
      <c r="M27" s="191">
        <v>8199.4222210000007</v>
      </c>
      <c r="N27" s="190">
        <v>845.7993770833333</v>
      </c>
      <c r="O27" s="190">
        <v>819.94222210000009</v>
      </c>
    </row>
    <row r="28" spans="1:15">
      <c r="A28" s="150" t="s">
        <v>138</v>
      </c>
      <c r="B28" s="150">
        <v>4</v>
      </c>
      <c r="C28" s="150">
        <v>4</v>
      </c>
      <c r="D28" s="150" t="s">
        <v>231</v>
      </c>
      <c r="E28" s="150" t="s">
        <v>231</v>
      </c>
      <c r="F28" s="150">
        <v>63</v>
      </c>
      <c r="G28" s="150" t="s">
        <v>235</v>
      </c>
      <c r="H28" s="150" t="s">
        <v>137</v>
      </c>
      <c r="I28" s="150" t="s">
        <v>132</v>
      </c>
      <c r="J28" s="150" t="s">
        <v>239</v>
      </c>
      <c r="K28" s="150" t="s">
        <v>285</v>
      </c>
      <c r="L28" s="189">
        <v>5214.0642877180962</v>
      </c>
      <c r="M28" s="189">
        <v>6710.287030555337</v>
      </c>
      <c r="N28" s="189">
        <v>776.59048460137353</v>
      </c>
      <c r="O28" s="189">
        <v>519.4046596512851</v>
      </c>
    </row>
    <row r="29" spans="1:15">
      <c r="A29" s="150" t="s">
        <v>138</v>
      </c>
      <c r="B29" s="150">
        <v>4</v>
      </c>
      <c r="C29" s="150">
        <v>4</v>
      </c>
      <c r="D29" s="150" t="s">
        <v>231</v>
      </c>
      <c r="E29" s="150" t="s">
        <v>231</v>
      </c>
      <c r="F29" s="150">
        <v>63</v>
      </c>
      <c r="G29" s="150" t="s">
        <v>235</v>
      </c>
      <c r="H29" s="150" t="s">
        <v>137</v>
      </c>
      <c r="I29" s="150" t="s">
        <v>132</v>
      </c>
      <c r="J29" s="150" t="s">
        <v>239</v>
      </c>
      <c r="K29" s="150" t="s">
        <v>285</v>
      </c>
      <c r="L29" s="189">
        <v>4907.4372823454632</v>
      </c>
      <c r="M29" s="189">
        <v>6692.6374172980577</v>
      </c>
      <c r="N29" s="189">
        <v>923.68279566004753</v>
      </c>
      <c r="O29" s="189">
        <v>317.70851821598029</v>
      </c>
    </row>
    <row r="30" spans="1:15">
      <c r="A30" s="150" t="s">
        <v>139</v>
      </c>
      <c r="B30" s="150">
        <v>3</v>
      </c>
      <c r="C30" s="150">
        <v>3</v>
      </c>
      <c r="D30" s="150" t="s">
        <v>233</v>
      </c>
      <c r="E30" s="150" t="s">
        <v>228</v>
      </c>
      <c r="F30" s="150">
        <v>42</v>
      </c>
      <c r="G30" s="150" t="s">
        <v>234</v>
      </c>
      <c r="H30" s="150" t="s">
        <v>136</v>
      </c>
      <c r="I30" s="150" t="s">
        <v>132</v>
      </c>
      <c r="J30" s="150" t="s">
        <v>132</v>
      </c>
      <c r="K30" s="150" t="s">
        <v>283</v>
      </c>
      <c r="L30" s="190" t="s">
        <v>132</v>
      </c>
      <c r="M30" s="190" t="s">
        <v>132</v>
      </c>
      <c r="N30" s="190" t="s">
        <v>132</v>
      </c>
      <c r="O30" s="19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90" t="s">
        <v>132</v>
      </c>
      <c r="M31" s="190" t="s">
        <v>132</v>
      </c>
      <c r="N31" s="190" t="s">
        <v>132</v>
      </c>
      <c r="O31" s="19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90" t="s">
        <v>132</v>
      </c>
      <c r="M32" s="190" t="s">
        <v>132</v>
      </c>
      <c r="N32" s="190" t="s">
        <v>132</v>
      </c>
      <c r="O32" s="19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90" t="s">
        <v>132</v>
      </c>
      <c r="M33" s="190" t="s">
        <v>132</v>
      </c>
      <c r="N33" s="190" t="s">
        <v>132</v>
      </c>
      <c r="O33" s="19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90" t="s">
        <v>132</v>
      </c>
      <c r="M34" s="190" t="s">
        <v>132</v>
      </c>
      <c r="N34" s="190" t="s">
        <v>132</v>
      </c>
      <c r="O34" s="19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90" t="s">
        <v>132</v>
      </c>
      <c r="M35" s="190" t="s">
        <v>132</v>
      </c>
      <c r="N35" s="190" t="s">
        <v>132</v>
      </c>
      <c r="O35" s="19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90" t="s">
        <v>132</v>
      </c>
      <c r="M36" s="190" t="s">
        <v>132</v>
      </c>
      <c r="N36" s="190" t="s">
        <v>132</v>
      </c>
      <c r="O36" s="19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90" t="s">
        <v>132</v>
      </c>
      <c r="M37" s="190" t="s">
        <v>132</v>
      </c>
      <c r="N37" s="190" t="s">
        <v>132</v>
      </c>
      <c r="O37" s="19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90" t="s">
        <v>132</v>
      </c>
      <c r="M38" s="190" t="s">
        <v>132</v>
      </c>
      <c r="N38" s="190" t="s">
        <v>132</v>
      </c>
      <c r="O38" s="19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90" t="s">
        <v>132</v>
      </c>
      <c r="M39" s="190" t="s">
        <v>132</v>
      </c>
      <c r="N39" s="190" t="s">
        <v>132</v>
      </c>
      <c r="O39" s="19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90" t="s">
        <v>132</v>
      </c>
      <c r="M40" s="190" t="s">
        <v>132</v>
      </c>
      <c r="N40" s="190" t="s">
        <v>132</v>
      </c>
      <c r="O40" s="19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90" t="s">
        <v>132</v>
      </c>
      <c r="M41" s="190" t="s">
        <v>132</v>
      </c>
      <c r="N41" s="190" t="s">
        <v>132</v>
      </c>
      <c r="O41" s="19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90" t="s">
        <v>132</v>
      </c>
      <c r="M42" s="190" t="s">
        <v>132</v>
      </c>
      <c r="N42" s="190" t="s">
        <v>132</v>
      </c>
      <c r="O42" s="19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90" t="s">
        <v>132</v>
      </c>
      <c r="M43" s="190" t="s">
        <v>132</v>
      </c>
      <c r="N43" s="190" t="s">
        <v>132</v>
      </c>
      <c r="O43" s="19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90" t="s">
        <v>132</v>
      </c>
      <c r="M44" s="190" t="s">
        <v>132</v>
      </c>
      <c r="N44" s="190" t="s">
        <v>132</v>
      </c>
      <c r="O44" s="19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90" t="s">
        <v>132</v>
      </c>
      <c r="M45" s="190" t="s">
        <v>132</v>
      </c>
      <c r="N45" s="190" t="s">
        <v>132</v>
      </c>
      <c r="O45" s="19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90" t="s">
        <v>132</v>
      </c>
      <c r="M46" s="190" t="s">
        <v>132</v>
      </c>
      <c r="N46" s="190" t="s">
        <v>132</v>
      </c>
      <c r="O46" s="19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90" t="s">
        <v>132</v>
      </c>
      <c r="M47" s="190" t="s">
        <v>132</v>
      </c>
      <c r="N47" s="190" t="s">
        <v>132</v>
      </c>
      <c r="O47" s="19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90" t="s">
        <v>132</v>
      </c>
      <c r="M48" s="190" t="s">
        <v>132</v>
      </c>
      <c r="N48" s="190" t="s">
        <v>132</v>
      </c>
      <c r="O48" s="19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90" t="s">
        <v>132</v>
      </c>
      <c r="M49" s="190" t="s">
        <v>132</v>
      </c>
      <c r="N49" s="190" t="s">
        <v>132</v>
      </c>
      <c r="O49" s="19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90" t="s">
        <v>132</v>
      </c>
      <c r="M50" s="190" t="s">
        <v>132</v>
      </c>
      <c r="N50" s="190" t="s">
        <v>132</v>
      </c>
      <c r="O50" s="19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90" t="s">
        <v>132</v>
      </c>
      <c r="M51" s="190" t="s">
        <v>132</v>
      </c>
      <c r="N51" s="190" t="s">
        <v>132</v>
      </c>
      <c r="O51" s="19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90" t="s">
        <v>132</v>
      </c>
      <c r="M52" s="190" t="s">
        <v>132</v>
      </c>
      <c r="N52" s="190" t="s">
        <v>132</v>
      </c>
      <c r="O52" s="19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90" t="s">
        <v>132</v>
      </c>
      <c r="M53" s="190" t="s">
        <v>132</v>
      </c>
      <c r="N53" s="190" t="s">
        <v>132</v>
      </c>
      <c r="O53" s="19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90" t="s">
        <v>132</v>
      </c>
      <c r="M54" s="190" t="s">
        <v>132</v>
      </c>
      <c r="N54" s="190" t="s">
        <v>132</v>
      </c>
      <c r="O54" s="19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90" t="s">
        <v>132</v>
      </c>
      <c r="M55" s="190" t="s">
        <v>132</v>
      </c>
      <c r="N55" s="190" t="s">
        <v>132</v>
      </c>
      <c r="O55" s="19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90" t="s">
        <v>132</v>
      </c>
      <c r="M56" s="190" t="s">
        <v>132</v>
      </c>
      <c r="N56" s="190" t="s">
        <v>132</v>
      </c>
      <c r="O56" s="19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90" t="s">
        <v>132</v>
      </c>
      <c r="M57" s="190" t="s">
        <v>132</v>
      </c>
      <c r="N57" s="190" t="s">
        <v>132</v>
      </c>
      <c r="O57" s="19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90" t="s">
        <v>132</v>
      </c>
      <c r="M58" s="190" t="s">
        <v>132</v>
      </c>
      <c r="N58" s="190" t="s">
        <v>132</v>
      </c>
      <c r="O58" s="19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90" t="s">
        <v>132</v>
      </c>
      <c r="M59" s="190" t="s">
        <v>132</v>
      </c>
      <c r="N59" s="190" t="s">
        <v>132</v>
      </c>
      <c r="O59" s="19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90" t="s">
        <v>132</v>
      </c>
      <c r="M60" s="190" t="s">
        <v>132</v>
      </c>
      <c r="N60" s="190" t="s">
        <v>132</v>
      </c>
      <c r="O60" s="19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90" t="s">
        <v>132</v>
      </c>
      <c r="M61" s="190" t="s">
        <v>132</v>
      </c>
      <c r="N61" s="190" t="s">
        <v>132</v>
      </c>
      <c r="O61" s="19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90" t="s">
        <v>132</v>
      </c>
      <c r="M62" s="190" t="s">
        <v>132</v>
      </c>
      <c r="N62" s="190" t="s">
        <v>132</v>
      </c>
      <c r="O62" s="19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90" t="s">
        <v>132</v>
      </c>
      <c r="M63" s="190" t="s">
        <v>132</v>
      </c>
      <c r="N63" s="190" t="s">
        <v>132</v>
      </c>
      <c r="O63" s="19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90" t="s">
        <v>132</v>
      </c>
      <c r="M64" s="190" t="s">
        <v>132</v>
      </c>
      <c r="N64" s="190" t="s">
        <v>132</v>
      </c>
      <c r="O64" s="19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90" t="s">
        <v>132</v>
      </c>
      <c r="M65" s="190" t="s">
        <v>132</v>
      </c>
      <c r="N65" s="190" t="s">
        <v>132</v>
      </c>
      <c r="O65" s="19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90" t="s">
        <v>132</v>
      </c>
      <c r="M66" s="190" t="s">
        <v>132</v>
      </c>
      <c r="N66" s="190" t="s">
        <v>132</v>
      </c>
      <c r="O66" s="19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90" t="s">
        <v>132</v>
      </c>
      <c r="M67" s="190" t="s">
        <v>132</v>
      </c>
      <c r="N67" s="190" t="s">
        <v>132</v>
      </c>
      <c r="O67" s="19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90" t="s">
        <v>132</v>
      </c>
      <c r="M68" s="190" t="s">
        <v>132</v>
      </c>
      <c r="N68" s="190" t="s">
        <v>132</v>
      </c>
      <c r="O68" s="19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89">
        <v>4860</v>
      </c>
      <c r="M69" s="189">
        <v>9560</v>
      </c>
      <c r="N69" s="189">
        <v>598.33101206606364</v>
      </c>
      <c r="O69" s="189">
        <v>527.25705305856275</v>
      </c>
    </row>
    <row r="70" spans="1:15">
      <c r="A70" s="150" t="s">
        <v>146</v>
      </c>
      <c r="B70" s="150">
        <v>5</v>
      </c>
      <c r="C70" s="150">
        <v>5</v>
      </c>
      <c r="D70" s="150" t="s">
        <v>231</v>
      </c>
      <c r="E70" s="150" t="s">
        <v>231</v>
      </c>
      <c r="F70" s="150">
        <v>63</v>
      </c>
      <c r="G70" s="150" t="s">
        <v>234</v>
      </c>
      <c r="H70" s="150" t="s">
        <v>136</v>
      </c>
      <c r="I70" s="151" t="s">
        <v>239</v>
      </c>
      <c r="J70" s="150" t="s">
        <v>240</v>
      </c>
      <c r="K70" s="150" t="s">
        <v>283</v>
      </c>
      <c r="L70" s="189">
        <v>6320</v>
      </c>
      <c r="M70" s="189">
        <v>6380</v>
      </c>
      <c r="N70" s="189">
        <v>496.99094559156708</v>
      </c>
      <c r="O70" s="189">
        <v>867.17933554715194</v>
      </c>
    </row>
    <row r="71" spans="1:15">
      <c r="A71" s="150" t="s">
        <v>146</v>
      </c>
      <c r="B71" s="150">
        <v>5</v>
      </c>
      <c r="C71" s="150">
        <v>5</v>
      </c>
      <c r="D71" s="150" t="s">
        <v>231</v>
      </c>
      <c r="E71" s="150" t="s">
        <v>231</v>
      </c>
      <c r="F71" s="150">
        <v>63</v>
      </c>
      <c r="G71" s="150" t="s">
        <v>234</v>
      </c>
      <c r="H71" s="150" t="s">
        <v>136</v>
      </c>
      <c r="I71" s="151" t="s">
        <v>239</v>
      </c>
      <c r="J71" s="150" t="s">
        <v>240</v>
      </c>
      <c r="K71" s="150" t="s">
        <v>283</v>
      </c>
      <c r="L71" s="189">
        <v>6340</v>
      </c>
      <c r="M71" s="189">
        <v>6300</v>
      </c>
      <c r="N71" s="189">
        <v>585.66201857385283</v>
      </c>
      <c r="O71" s="189">
        <v>836.66002653407554</v>
      </c>
    </row>
    <row r="72" spans="1:15">
      <c r="A72" s="150" t="s">
        <v>146</v>
      </c>
      <c r="B72" s="150">
        <v>5</v>
      </c>
      <c r="C72" s="150">
        <v>5</v>
      </c>
      <c r="D72" s="150" t="s">
        <v>231</v>
      </c>
      <c r="E72" s="150" t="s">
        <v>231</v>
      </c>
      <c r="F72" s="150">
        <v>63</v>
      </c>
      <c r="G72" s="150" t="s">
        <v>234</v>
      </c>
      <c r="H72" s="150" t="s">
        <v>136</v>
      </c>
      <c r="I72" s="151" t="s">
        <v>239</v>
      </c>
      <c r="J72" s="150" t="s">
        <v>240</v>
      </c>
      <c r="K72" s="150" t="s">
        <v>283</v>
      </c>
      <c r="L72" s="189">
        <v>6660</v>
      </c>
      <c r="M72" s="189">
        <v>6580</v>
      </c>
      <c r="N72" s="189">
        <v>482.70073544588678</v>
      </c>
      <c r="O72" s="189">
        <v>614.00325732035003</v>
      </c>
    </row>
    <row r="73" spans="1:15">
      <c r="A73" s="150" t="s">
        <v>146</v>
      </c>
      <c r="B73" s="150">
        <v>5</v>
      </c>
      <c r="C73" s="150">
        <v>5</v>
      </c>
      <c r="D73" s="150" t="s">
        <v>231</v>
      </c>
      <c r="E73" s="150" t="s">
        <v>231</v>
      </c>
      <c r="F73" s="150">
        <v>63</v>
      </c>
      <c r="G73" s="150" t="s">
        <v>234</v>
      </c>
      <c r="H73" s="150" t="s">
        <v>136</v>
      </c>
      <c r="I73" s="151" t="s">
        <v>239</v>
      </c>
      <c r="J73" s="150" t="s">
        <v>240</v>
      </c>
      <c r="K73" s="150" t="s">
        <v>283</v>
      </c>
      <c r="L73" s="189">
        <v>6560</v>
      </c>
      <c r="M73" s="189">
        <v>6220</v>
      </c>
      <c r="N73" s="189">
        <v>522.49401910452525</v>
      </c>
      <c r="O73" s="189">
        <v>870.05746936624826</v>
      </c>
    </row>
    <row r="74" spans="1:15">
      <c r="A74" s="150" t="s">
        <v>146</v>
      </c>
      <c r="B74" s="150">
        <v>5</v>
      </c>
      <c r="C74" s="150">
        <v>5</v>
      </c>
      <c r="D74" s="150" t="s">
        <v>231</v>
      </c>
      <c r="E74" s="150" t="s">
        <v>231</v>
      </c>
      <c r="F74" s="150">
        <v>63</v>
      </c>
      <c r="G74" s="150" t="s">
        <v>234</v>
      </c>
      <c r="H74" s="150" t="s">
        <v>136</v>
      </c>
      <c r="I74" s="151" t="s">
        <v>240</v>
      </c>
      <c r="J74" s="151" t="s">
        <v>241</v>
      </c>
      <c r="K74" s="150" t="s">
        <v>283</v>
      </c>
      <c r="L74" s="189">
        <v>10080</v>
      </c>
      <c r="M74" s="189">
        <v>12200</v>
      </c>
      <c r="N74" s="189">
        <v>2548.9213404889529</v>
      </c>
      <c r="O74" s="189">
        <v>761.57731058639081</v>
      </c>
    </row>
    <row r="75" spans="1:15">
      <c r="A75" s="150" t="s">
        <v>146</v>
      </c>
      <c r="B75" s="150">
        <v>5</v>
      </c>
      <c r="C75" s="150">
        <v>5</v>
      </c>
      <c r="D75" s="150" t="s">
        <v>231</v>
      </c>
      <c r="E75" s="150" t="s">
        <v>231</v>
      </c>
      <c r="F75" s="150">
        <v>63</v>
      </c>
      <c r="G75" s="150" t="s">
        <v>234</v>
      </c>
      <c r="H75" s="150" t="s">
        <v>136</v>
      </c>
      <c r="I75" s="151" t="s">
        <v>239</v>
      </c>
      <c r="J75" s="151" t="s">
        <v>241</v>
      </c>
      <c r="K75" s="150" t="s">
        <v>283</v>
      </c>
      <c r="L75" s="189">
        <v>8260</v>
      </c>
      <c r="M75" s="189">
        <v>7800</v>
      </c>
      <c r="N75" s="189">
        <v>602.49481325568274</v>
      </c>
      <c r="O75" s="189">
        <v>1504.9916943292412</v>
      </c>
    </row>
    <row r="76" spans="1:15">
      <c r="A76" s="150" t="s">
        <v>146</v>
      </c>
      <c r="B76" s="150">
        <v>5</v>
      </c>
      <c r="C76" s="150">
        <v>5</v>
      </c>
      <c r="D76" s="150" t="s">
        <v>231</v>
      </c>
      <c r="E76" s="150" t="s">
        <v>231</v>
      </c>
      <c r="F76" s="150">
        <v>63</v>
      </c>
      <c r="G76" s="150" t="s">
        <v>234</v>
      </c>
      <c r="H76" s="150" t="s">
        <v>136</v>
      </c>
      <c r="I76" s="151" t="s">
        <v>239</v>
      </c>
      <c r="J76" s="151" t="s">
        <v>241</v>
      </c>
      <c r="K76" s="150" t="s">
        <v>283</v>
      </c>
      <c r="L76" s="189">
        <v>8740</v>
      </c>
      <c r="M76" s="189">
        <v>8120</v>
      </c>
      <c r="N76" s="189">
        <v>1169.6153213770756</v>
      </c>
      <c r="O76" s="189">
        <v>618.06148561449777</v>
      </c>
    </row>
    <row r="77" spans="1:15">
      <c r="A77" s="150" t="s">
        <v>146</v>
      </c>
      <c r="B77" s="150">
        <v>5</v>
      </c>
      <c r="C77" s="150">
        <v>5</v>
      </c>
      <c r="D77" s="150" t="s">
        <v>231</v>
      </c>
      <c r="E77" s="150" t="s">
        <v>231</v>
      </c>
      <c r="F77" s="150">
        <v>63</v>
      </c>
      <c r="G77" s="150" t="s">
        <v>234</v>
      </c>
      <c r="H77" s="150" t="s">
        <v>136</v>
      </c>
      <c r="I77" s="151" t="s">
        <v>239</v>
      </c>
      <c r="J77" s="151" t="s">
        <v>241</v>
      </c>
      <c r="K77" s="150" t="s">
        <v>283</v>
      </c>
      <c r="L77" s="189">
        <v>7860</v>
      </c>
      <c r="M77" s="189">
        <v>7660</v>
      </c>
      <c r="N77" s="189">
        <v>665.5824516917495</v>
      </c>
      <c r="O77" s="189">
        <v>1499.333185119305</v>
      </c>
    </row>
    <row r="78" spans="1:15">
      <c r="A78" s="150" t="s">
        <v>146</v>
      </c>
      <c r="B78" s="150">
        <v>5</v>
      </c>
      <c r="C78" s="150">
        <v>5</v>
      </c>
      <c r="D78" s="150" t="s">
        <v>231</v>
      </c>
      <c r="E78" s="150" t="s">
        <v>231</v>
      </c>
      <c r="F78" s="150">
        <v>63</v>
      </c>
      <c r="G78" s="150" t="s">
        <v>234</v>
      </c>
      <c r="H78" s="150" t="s">
        <v>136</v>
      </c>
      <c r="I78" s="151" t="s">
        <v>239</v>
      </c>
      <c r="J78" s="151" t="s">
        <v>241</v>
      </c>
      <c r="K78" s="150" t="s">
        <v>283</v>
      </c>
      <c r="L78" s="189">
        <v>8440</v>
      </c>
      <c r="M78" s="189">
        <v>7820</v>
      </c>
      <c r="N78" s="189">
        <v>531.97744313081546</v>
      </c>
      <c r="O78" s="189">
        <v>148.32396974191326</v>
      </c>
    </row>
    <row r="79" spans="1:15">
      <c r="A79" s="150" t="s">
        <v>147</v>
      </c>
      <c r="B79" s="150">
        <v>5</v>
      </c>
      <c r="C79" s="150">
        <v>5</v>
      </c>
      <c r="D79" s="150" t="s">
        <v>231</v>
      </c>
      <c r="E79" s="150" t="s">
        <v>231</v>
      </c>
      <c r="F79" s="150">
        <v>63</v>
      </c>
      <c r="G79" s="150" t="s">
        <v>234</v>
      </c>
      <c r="H79" s="150" t="s">
        <v>136</v>
      </c>
      <c r="I79" s="151" t="s">
        <v>240</v>
      </c>
      <c r="J79" s="150" t="s">
        <v>240</v>
      </c>
      <c r="K79" s="150" t="s">
        <v>283</v>
      </c>
      <c r="L79" s="189">
        <v>4540</v>
      </c>
      <c r="M79" s="189">
        <v>6920</v>
      </c>
      <c r="N79" s="189">
        <v>403.732584763727</v>
      </c>
      <c r="O79" s="189">
        <v>1487.2793954062565</v>
      </c>
    </row>
    <row r="80" spans="1:15">
      <c r="A80" s="150" t="s">
        <v>147</v>
      </c>
      <c r="B80" s="150">
        <v>5</v>
      </c>
      <c r="C80" s="150">
        <v>5</v>
      </c>
      <c r="D80" s="150" t="s">
        <v>231</v>
      </c>
      <c r="E80" s="150" t="s">
        <v>231</v>
      </c>
      <c r="F80" s="150">
        <v>63</v>
      </c>
      <c r="G80" s="150" t="s">
        <v>234</v>
      </c>
      <c r="H80" s="150" t="s">
        <v>136</v>
      </c>
      <c r="I80" s="151" t="s">
        <v>240</v>
      </c>
      <c r="J80" s="151" t="s">
        <v>241</v>
      </c>
      <c r="K80" s="150" t="s">
        <v>283</v>
      </c>
      <c r="L80" s="189">
        <v>6300</v>
      </c>
      <c r="M80" s="189">
        <v>7460</v>
      </c>
      <c r="N80" s="189">
        <v>777.81745930520231</v>
      </c>
      <c r="O80" s="189">
        <v>559.46402922797461</v>
      </c>
    </row>
    <row r="81" spans="1:15">
      <c r="A81" s="150" t="s">
        <v>147</v>
      </c>
      <c r="B81" s="150">
        <v>5</v>
      </c>
      <c r="C81" s="150">
        <v>5</v>
      </c>
      <c r="D81" s="150" t="s">
        <v>231</v>
      </c>
      <c r="E81" s="150" t="s">
        <v>231</v>
      </c>
      <c r="F81" s="150">
        <v>63</v>
      </c>
      <c r="G81" s="150" t="s">
        <v>234</v>
      </c>
      <c r="H81" s="150" t="s">
        <v>136</v>
      </c>
      <c r="I81" s="151" t="s">
        <v>240</v>
      </c>
      <c r="J81" s="151" t="s">
        <v>241</v>
      </c>
      <c r="K81" s="150" t="s">
        <v>283</v>
      </c>
      <c r="L81" s="189">
        <v>9300</v>
      </c>
      <c r="M81" s="189">
        <v>10660</v>
      </c>
      <c r="N81" s="189">
        <v>1776.2319668331611</v>
      </c>
      <c r="O81" s="189">
        <v>750.33325929216278</v>
      </c>
    </row>
    <row r="82" spans="1:15">
      <c r="A82" s="150" t="s">
        <v>147</v>
      </c>
      <c r="B82" s="150">
        <v>5</v>
      </c>
      <c r="C82" s="150">
        <v>5</v>
      </c>
      <c r="D82" s="150" t="s">
        <v>231</v>
      </c>
      <c r="E82" s="150" t="s">
        <v>231</v>
      </c>
      <c r="F82" s="150">
        <v>63</v>
      </c>
      <c r="G82" s="150" t="s">
        <v>234</v>
      </c>
      <c r="H82" s="150" t="s">
        <v>136</v>
      </c>
      <c r="I82" s="151" t="s">
        <v>240</v>
      </c>
      <c r="J82" s="151" t="s">
        <v>241</v>
      </c>
      <c r="K82" s="150" t="s">
        <v>283</v>
      </c>
      <c r="L82" s="189">
        <v>11100</v>
      </c>
      <c r="M82" s="189">
        <v>11440</v>
      </c>
      <c r="N82" s="189">
        <v>1206.2338081814819</v>
      </c>
      <c r="O82" s="189">
        <v>2058.6403279834972</v>
      </c>
    </row>
    <row r="83" spans="1:15">
      <c r="A83" s="150" t="s">
        <v>147</v>
      </c>
      <c r="B83" s="150">
        <v>5</v>
      </c>
      <c r="C83" s="150">
        <v>5</v>
      </c>
      <c r="D83" s="150" t="s">
        <v>231</v>
      </c>
      <c r="E83" s="150" t="s">
        <v>231</v>
      </c>
      <c r="F83" s="150">
        <v>63</v>
      </c>
      <c r="G83" s="150" t="s">
        <v>234</v>
      </c>
      <c r="H83" s="150" t="s">
        <v>136</v>
      </c>
      <c r="I83" s="151" t="s">
        <v>240</v>
      </c>
      <c r="J83" s="151" t="s">
        <v>241</v>
      </c>
      <c r="K83" s="150" t="s">
        <v>283</v>
      </c>
      <c r="L83" s="189">
        <v>11460</v>
      </c>
      <c r="M83" s="189">
        <v>13120</v>
      </c>
      <c r="N83" s="189">
        <v>456.07017003965518</v>
      </c>
      <c r="O83" s="189">
        <v>1329.2855223765887</v>
      </c>
    </row>
    <row r="84" spans="1:15">
      <c r="A84" s="150" t="s">
        <v>147</v>
      </c>
      <c r="B84" s="150">
        <v>5</v>
      </c>
      <c r="C84" s="150">
        <v>5</v>
      </c>
      <c r="D84" s="150" t="s">
        <v>231</v>
      </c>
      <c r="E84" s="150" t="s">
        <v>231</v>
      </c>
      <c r="F84" s="150">
        <v>63</v>
      </c>
      <c r="G84" s="150" t="s">
        <v>234</v>
      </c>
      <c r="H84" s="150" t="s">
        <v>136</v>
      </c>
      <c r="I84" s="151" t="s">
        <v>239</v>
      </c>
      <c r="J84" s="150" t="s">
        <v>240</v>
      </c>
      <c r="K84" s="150" t="s">
        <v>283</v>
      </c>
      <c r="L84" s="189">
        <v>6340</v>
      </c>
      <c r="M84" s="189">
        <v>5260</v>
      </c>
      <c r="N84" s="189">
        <v>950.26312145636803</v>
      </c>
      <c r="O84" s="189">
        <v>378.15340802378074</v>
      </c>
    </row>
    <row r="85" spans="1:15">
      <c r="A85" s="150" t="s">
        <v>147</v>
      </c>
      <c r="B85" s="150">
        <v>5</v>
      </c>
      <c r="C85" s="150">
        <v>5</v>
      </c>
      <c r="D85" s="150" t="s">
        <v>231</v>
      </c>
      <c r="E85" s="150" t="s">
        <v>231</v>
      </c>
      <c r="F85" s="150">
        <v>63</v>
      </c>
      <c r="G85" s="150" t="s">
        <v>234</v>
      </c>
      <c r="H85" s="150" t="s">
        <v>136</v>
      </c>
      <c r="I85" s="151" t="s">
        <v>239</v>
      </c>
      <c r="J85" s="151" t="s">
        <v>241</v>
      </c>
      <c r="K85" s="150" t="s">
        <v>283</v>
      </c>
      <c r="L85" s="189">
        <v>6900</v>
      </c>
      <c r="M85" s="189">
        <v>5920</v>
      </c>
      <c r="N85" s="189">
        <v>624.49979983983985</v>
      </c>
      <c r="O85" s="189">
        <v>756.30681604756148</v>
      </c>
    </row>
    <row r="86" spans="1:15">
      <c r="A86" s="150" t="s">
        <v>147</v>
      </c>
      <c r="B86" s="150">
        <v>5</v>
      </c>
      <c r="C86" s="150">
        <v>5</v>
      </c>
      <c r="D86" s="150" t="s">
        <v>231</v>
      </c>
      <c r="E86" s="150" t="s">
        <v>231</v>
      </c>
      <c r="F86" s="150">
        <v>63</v>
      </c>
      <c r="G86" s="150" t="s">
        <v>234</v>
      </c>
      <c r="H86" s="150" t="s">
        <v>136</v>
      </c>
      <c r="I86" s="151" t="s">
        <v>239</v>
      </c>
      <c r="J86" s="151" t="s">
        <v>241</v>
      </c>
      <c r="K86" s="150" t="s">
        <v>283</v>
      </c>
      <c r="L86" s="189">
        <v>7640</v>
      </c>
      <c r="M86" s="189">
        <v>7160</v>
      </c>
      <c r="N86" s="189">
        <v>723.18738927058178</v>
      </c>
      <c r="O86" s="189">
        <v>684.10525505948283</v>
      </c>
    </row>
    <row r="87" spans="1:15">
      <c r="A87" s="150" t="s">
        <v>147</v>
      </c>
      <c r="B87" s="150">
        <v>5</v>
      </c>
      <c r="C87" s="150">
        <v>5</v>
      </c>
      <c r="D87" s="150" t="s">
        <v>231</v>
      </c>
      <c r="E87" s="150" t="s">
        <v>231</v>
      </c>
      <c r="F87" s="150">
        <v>63</v>
      </c>
      <c r="G87" s="150" t="s">
        <v>234</v>
      </c>
      <c r="H87" s="150" t="s">
        <v>136</v>
      </c>
      <c r="I87" s="151" t="s">
        <v>239</v>
      </c>
      <c r="J87" s="151" t="s">
        <v>241</v>
      </c>
      <c r="K87" s="150" t="s">
        <v>283</v>
      </c>
      <c r="L87" s="189">
        <v>8020</v>
      </c>
      <c r="M87" s="189">
        <v>7640</v>
      </c>
      <c r="N87" s="189">
        <v>973.13925005622912</v>
      </c>
      <c r="O87" s="189">
        <v>1240.1612798341996</v>
      </c>
    </row>
    <row r="88" spans="1:15">
      <c r="A88" s="150" t="s">
        <v>147</v>
      </c>
      <c r="B88" s="150">
        <v>5</v>
      </c>
      <c r="C88" s="150">
        <v>5</v>
      </c>
      <c r="D88" s="150" t="s">
        <v>231</v>
      </c>
      <c r="E88" s="150" t="s">
        <v>231</v>
      </c>
      <c r="F88" s="150">
        <v>63</v>
      </c>
      <c r="G88" s="150" t="s">
        <v>234</v>
      </c>
      <c r="H88" s="150" t="s">
        <v>136</v>
      </c>
      <c r="I88" s="151" t="s">
        <v>239</v>
      </c>
      <c r="J88" s="151" t="s">
        <v>241</v>
      </c>
      <c r="K88" s="150" t="s">
        <v>283</v>
      </c>
      <c r="L88" s="189">
        <v>8280</v>
      </c>
      <c r="M88" s="189">
        <v>8380</v>
      </c>
      <c r="N88" s="189">
        <v>563.02753041036988</v>
      </c>
      <c r="O88" s="189">
        <v>506.95167422546302</v>
      </c>
    </row>
    <row r="89" spans="1:15">
      <c r="A89" s="150" t="s">
        <v>148</v>
      </c>
      <c r="B89" s="150">
        <v>5</v>
      </c>
      <c r="C89" s="150">
        <v>5</v>
      </c>
      <c r="D89" s="150" t="s">
        <v>231</v>
      </c>
      <c r="E89" s="150" t="s">
        <v>231</v>
      </c>
      <c r="F89" s="150">
        <v>56</v>
      </c>
      <c r="G89" s="150" t="s">
        <v>234</v>
      </c>
      <c r="H89" s="150" t="s">
        <v>136</v>
      </c>
      <c r="I89" s="151" t="s">
        <v>239</v>
      </c>
      <c r="J89" s="151" t="s">
        <v>241</v>
      </c>
      <c r="K89" s="150" t="s">
        <v>283</v>
      </c>
      <c r="L89" s="189">
        <v>4220</v>
      </c>
      <c r="M89" s="189">
        <v>4880</v>
      </c>
      <c r="N89" s="189">
        <v>178.88543819998318</v>
      </c>
      <c r="O89" s="189">
        <v>130.38404810405297</v>
      </c>
    </row>
    <row r="90" spans="1:15">
      <c r="A90" s="150" t="s">
        <v>148</v>
      </c>
      <c r="B90" s="150">
        <v>5</v>
      </c>
      <c r="C90" s="150">
        <v>5</v>
      </c>
      <c r="D90" s="150" t="s">
        <v>231</v>
      </c>
      <c r="E90" s="150" t="s">
        <v>231</v>
      </c>
      <c r="F90" s="150">
        <v>56</v>
      </c>
      <c r="G90" s="150" t="s">
        <v>234</v>
      </c>
      <c r="H90" s="150" t="s">
        <v>136</v>
      </c>
      <c r="I90" s="151" t="s">
        <v>239</v>
      </c>
      <c r="J90" s="151" t="s">
        <v>241</v>
      </c>
      <c r="K90" s="150" t="s">
        <v>283</v>
      </c>
      <c r="L90" s="189">
        <v>4060</v>
      </c>
      <c r="M90" s="189">
        <v>5180</v>
      </c>
      <c r="N90" s="189">
        <v>288.09720581775866</v>
      </c>
      <c r="O90" s="189">
        <v>303.31501776206204</v>
      </c>
    </row>
    <row r="91" spans="1:15">
      <c r="A91" s="150" t="s">
        <v>148</v>
      </c>
      <c r="B91" s="150">
        <v>5</v>
      </c>
      <c r="C91" s="150">
        <v>5</v>
      </c>
      <c r="D91" s="150" t="s">
        <v>231</v>
      </c>
      <c r="E91" s="150" t="s">
        <v>231</v>
      </c>
      <c r="F91" s="150">
        <v>56</v>
      </c>
      <c r="G91" s="150" t="s">
        <v>234</v>
      </c>
      <c r="H91" s="150" t="s">
        <v>136</v>
      </c>
      <c r="I91" s="151" t="s">
        <v>239</v>
      </c>
      <c r="J91" s="151" t="s">
        <v>241</v>
      </c>
      <c r="K91" s="150" t="s">
        <v>283</v>
      </c>
      <c r="L91" s="189">
        <v>4000</v>
      </c>
      <c r="M91" s="189">
        <v>4680</v>
      </c>
      <c r="N91" s="189">
        <v>212.13203435596427</v>
      </c>
      <c r="O91" s="189">
        <v>216.79483388678798</v>
      </c>
    </row>
    <row r="92" spans="1:15">
      <c r="A92" s="150" t="s">
        <v>148</v>
      </c>
      <c r="B92" s="150">
        <v>5</v>
      </c>
      <c r="C92" s="150">
        <v>5</v>
      </c>
      <c r="D92" s="150" t="s">
        <v>231</v>
      </c>
      <c r="E92" s="150" t="s">
        <v>231</v>
      </c>
      <c r="F92" s="150">
        <v>56</v>
      </c>
      <c r="G92" s="150" t="s">
        <v>234</v>
      </c>
      <c r="H92" s="150" t="s">
        <v>136</v>
      </c>
      <c r="I92" s="151" t="s">
        <v>239</v>
      </c>
      <c r="J92" s="151" t="s">
        <v>241</v>
      </c>
      <c r="K92" s="150" t="s">
        <v>283</v>
      </c>
      <c r="L92" s="189">
        <v>4120</v>
      </c>
      <c r="M92" s="189">
        <v>4820</v>
      </c>
      <c r="N92" s="189">
        <v>109.54451150103323</v>
      </c>
      <c r="O92" s="189">
        <v>238.74672772626644</v>
      </c>
    </row>
    <row r="93" spans="1:15">
      <c r="A93" s="150" t="s">
        <v>148</v>
      </c>
      <c r="B93" s="150">
        <v>5</v>
      </c>
      <c r="C93" s="150">
        <v>5</v>
      </c>
      <c r="D93" s="150" t="s">
        <v>231</v>
      </c>
      <c r="E93" s="150" t="s">
        <v>231</v>
      </c>
      <c r="F93" s="150">
        <v>56</v>
      </c>
      <c r="G93" s="150" t="s">
        <v>234</v>
      </c>
      <c r="H93" s="150" t="s">
        <v>136</v>
      </c>
      <c r="I93" s="151" t="s">
        <v>239</v>
      </c>
      <c r="J93" s="151" t="s">
        <v>241</v>
      </c>
      <c r="K93" s="150" t="s">
        <v>283</v>
      </c>
      <c r="L93" s="189">
        <v>3700</v>
      </c>
      <c r="M93" s="189">
        <v>4660</v>
      </c>
      <c r="N93" s="189">
        <v>234.52078799117149</v>
      </c>
      <c r="O93" s="189">
        <v>194.93588689617928</v>
      </c>
    </row>
    <row r="94" spans="1:15">
      <c r="A94" s="150" t="s">
        <v>148</v>
      </c>
      <c r="B94" s="150">
        <v>5</v>
      </c>
      <c r="C94" s="150">
        <v>5</v>
      </c>
      <c r="D94" s="150" t="s">
        <v>231</v>
      </c>
      <c r="E94" s="150" t="s">
        <v>231</v>
      </c>
      <c r="F94" s="150">
        <v>56</v>
      </c>
      <c r="G94" s="150" t="s">
        <v>234</v>
      </c>
      <c r="H94" s="150" t="s">
        <v>136</v>
      </c>
      <c r="I94" s="151" t="s">
        <v>239</v>
      </c>
      <c r="J94" s="151" t="s">
        <v>241</v>
      </c>
      <c r="K94" s="150" t="s">
        <v>283</v>
      </c>
      <c r="L94" s="189">
        <v>4280</v>
      </c>
      <c r="M94" s="189">
        <v>5240</v>
      </c>
      <c r="N94" s="189">
        <v>277.48873851023217</v>
      </c>
      <c r="O94" s="189">
        <v>89.442719099991592</v>
      </c>
    </row>
    <row r="95" spans="1:15">
      <c r="A95" s="150" t="s">
        <v>149</v>
      </c>
      <c r="B95" s="150">
        <v>6</v>
      </c>
      <c r="C95" s="150">
        <v>6</v>
      </c>
      <c r="D95" s="150" t="s">
        <v>231</v>
      </c>
      <c r="E95" s="150" t="s">
        <v>231</v>
      </c>
      <c r="F95" s="150">
        <v>36</v>
      </c>
      <c r="G95" s="150" t="s">
        <v>234</v>
      </c>
      <c r="H95" s="150" t="s">
        <v>137</v>
      </c>
      <c r="I95" s="150" t="s">
        <v>132</v>
      </c>
      <c r="J95" s="150" t="s">
        <v>132</v>
      </c>
      <c r="K95" s="150" t="s">
        <v>283</v>
      </c>
      <c r="L95" s="190" t="s">
        <v>132</v>
      </c>
      <c r="M95" s="190" t="s">
        <v>132</v>
      </c>
      <c r="N95" s="190" t="s">
        <v>132</v>
      </c>
      <c r="O95" s="19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90" t="s">
        <v>132</v>
      </c>
      <c r="M96" s="190" t="s">
        <v>132</v>
      </c>
      <c r="N96" s="190" t="s">
        <v>132</v>
      </c>
      <c r="O96" s="19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90" t="s">
        <v>132</v>
      </c>
      <c r="M97" s="190" t="s">
        <v>132</v>
      </c>
      <c r="N97" s="190" t="s">
        <v>132</v>
      </c>
      <c r="O97" s="19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90" t="s">
        <v>132</v>
      </c>
      <c r="M98" s="190" t="s">
        <v>132</v>
      </c>
      <c r="N98" s="190" t="s">
        <v>132</v>
      </c>
      <c r="O98" s="19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90" t="s">
        <v>132</v>
      </c>
      <c r="M99" s="190" t="s">
        <v>132</v>
      </c>
      <c r="N99" s="190" t="s">
        <v>132</v>
      </c>
      <c r="O99" s="19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90" t="s">
        <v>132</v>
      </c>
      <c r="M100" s="190" t="s">
        <v>132</v>
      </c>
      <c r="N100" s="190" t="s">
        <v>132</v>
      </c>
      <c r="O100" s="190" t="s">
        <v>132</v>
      </c>
    </row>
  </sheetData>
  <pageMargins left="0.75" right="0.75" top="1" bottom="1" header="0.5" footer="0.5"/>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100"/>
  <sheetViews>
    <sheetView workbookViewId="0">
      <selection activeCell="L1" sqref="L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5" width="10.83203125" style="152"/>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307</v>
      </c>
      <c r="M1" s="150" t="s">
        <v>308</v>
      </c>
      <c r="N1" s="150" t="s">
        <v>309</v>
      </c>
      <c r="O1" s="150" t="s">
        <v>310</v>
      </c>
    </row>
    <row r="2" spans="1:15">
      <c r="A2" s="150" t="s">
        <v>119</v>
      </c>
      <c r="B2" s="150">
        <v>3</v>
      </c>
      <c r="C2" s="150">
        <v>3</v>
      </c>
      <c r="D2" s="150" t="s">
        <v>233</v>
      </c>
      <c r="E2" s="150" t="s">
        <v>229</v>
      </c>
      <c r="F2" s="150">
        <v>42</v>
      </c>
      <c r="G2" s="150" t="s">
        <v>234</v>
      </c>
      <c r="H2" s="150" t="s">
        <v>136</v>
      </c>
      <c r="I2" s="150" t="s">
        <v>132</v>
      </c>
      <c r="J2" s="150" t="s">
        <v>132</v>
      </c>
      <c r="K2" s="150" t="s">
        <v>132</v>
      </c>
      <c r="L2" s="190" t="s">
        <v>132</v>
      </c>
      <c r="M2" s="190" t="s">
        <v>132</v>
      </c>
      <c r="N2" s="190" t="s">
        <v>132</v>
      </c>
      <c r="O2" s="190" t="s">
        <v>132</v>
      </c>
    </row>
    <row r="3" spans="1:15">
      <c r="A3" s="150" t="s">
        <v>119</v>
      </c>
      <c r="B3" s="150">
        <v>3</v>
      </c>
      <c r="C3" s="150">
        <v>3</v>
      </c>
      <c r="D3" s="150" t="s">
        <v>233</v>
      </c>
      <c r="E3" s="150" t="s">
        <v>229</v>
      </c>
      <c r="F3" s="150">
        <v>42</v>
      </c>
      <c r="G3" s="150" t="s">
        <v>234</v>
      </c>
      <c r="H3" s="150" t="s">
        <v>136</v>
      </c>
      <c r="I3" s="150" t="s">
        <v>132</v>
      </c>
      <c r="J3" s="150" t="s">
        <v>132</v>
      </c>
      <c r="K3" s="150" t="s">
        <v>132</v>
      </c>
      <c r="L3" s="190" t="s">
        <v>132</v>
      </c>
      <c r="M3" s="190" t="s">
        <v>132</v>
      </c>
      <c r="N3" s="190" t="s">
        <v>132</v>
      </c>
      <c r="O3" s="190" t="s">
        <v>132</v>
      </c>
    </row>
    <row r="4" spans="1:15">
      <c r="A4" s="150" t="s">
        <v>120</v>
      </c>
      <c r="B4" s="150">
        <v>5</v>
      </c>
      <c r="C4" s="150">
        <v>5</v>
      </c>
      <c r="D4" s="150" t="s">
        <v>231</v>
      </c>
      <c r="E4" s="150" t="s">
        <v>231</v>
      </c>
      <c r="F4" s="150">
        <v>63</v>
      </c>
      <c r="G4" s="150" t="s">
        <v>234</v>
      </c>
      <c r="H4" s="150" t="s">
        <v>136</v>
      </c>
      <c r="I4" s="150" t="s">
        <v>239</v>
      </c>
      <c r="J4" s="150" t="s">
        <v>239</v>
      </c>
      <c r="K4" s="150" t="s">
        <v>284</v>
      </c>
      <c r="L4" s="190" t="s">
        <v>132</v>
      </c>
      <c r="M4" s="190" t="s">
        <v>132</v>
      </c>
      <c r="N4" s="190" t="s">
        <v>132</v>
      </c>
      <c r="O4" s="190" t="s">
        <v>132</v>
      </c>
    </row>
    <row r="5" spans="1:15">
      <c r="A5" s="150" t="s">
        <v>120</v>
      </c>
      <c r="B5" s="150">
        <v>5</v>
      </c>
      <c r="C5" s="150">
        <v>5</v>
      </c>
      <c r="D5" s="150" t="s">
        <v>231</v>
      </c>
      <c r="E5" s="150" t="s">
        <v>231</v>
      </c>
      <c r="F5" s="150">
        <v>63</v>
      </c>
      <c r="G5" s="150" t="s">
        <v>234</v>
      </c>
      <c r="H5" s="150" t="s">
        <v>136</v>
      </c>
      <c r="I5" s="150" t="s">
        <v>239</v>
      </c>
      <c r="J5" s="150" t="s">
        <v>239</v>
      </c>
      <c r="K5" s="150" t="s">
        <v>284</v>
      </c>
      <c r="L5" s="190" t="s">
        <v>132</v>
      </c>
      <c r="M5" s="190" t="s">
        <v>132</v>
      </c>
      <c r="N5" s="190" t="s">
        <v>132</v>
      </c>
      <c r="O5" s="190" t="s">
        <v>132</v>
      </c>
    </row>
    <row r="6" spans="1:15">
      <c r="A6" s="150" t="s">
        <v>120</v>
      </c>
      <c r="B6" s="150">
        <v>5</v>
      </c>
      <c r="C6" s="150">
        <v>5</v>
      </c>
      <c r="D6" s="150" t="s">
        <v>231</v>
      </c>
      <c r="E6" s="150" t="s">
        <v>231</v>
      </c>
      <c r="F6" s="150">
        <v>63</v>
      </c>
      <c r="G6" s="150" t="s">
        <v>234</v>
      </c>
      <c r="H6" s="150" t="s">
        <v>136</v>
      </c>
      <c r="I6" s="150" t="s">
        <v>239</v>
      </c>
      <c r="J6" s="150" t="s">
        <v>239</v>
      </c>
      <c r="K6" s="150" t="s">
        <v>284</v>
      </c>
      <c r="L6" s="190" t="s">
        <v>132</v>
      </c>
      <c r="M6" s="190" t="s">
        <v>132</v>
      </c>
      <c r="N6" s="190" t="s">
        <v>132</v>
      </c>
      <c r="O6" s="190" t="s">
        <v>132</v>
      </c>
    </row>
    <row r="7" spans="1:15">
      <c r="A7" s="150" t="s">
        <v>120</v>
      </c>
      <c r="B7" s="150">
        <v>5</v>
      </c>
      <c r="C7" s="150">
        <v>5</v>
      </c>
      <c r="D7" s="150" t="s">
        <v>231</v>
      </c>
      <c r="E7" s="150" t="s">
        <v>231</v>
      </c>
      <c r="F7" s="150">
        <v>63</v>
      </c>
      <c r="G7" s="150" t="s">
        <v>234</v>
      </c>
      <c r="H7" s="150" t="s">
        <v>136</v>
      </c>
      <c r="I7" s="150" t="s">
        <v>239</v>
      </c>
      <c r="J7" s="150" t="s">
        <v>239</v>
      </c>
      <c r="K7" s="150" t="s">
        <v>284</v>
      </c>
      <c r="L7" s="190" t="s">
        <v>132</v>
      </c>
      <c r="M7" s="190" t="s">
        <v>132</v>
      </c>
      <c r="N7" s="190" t="s">
        <v>132</v>
      </c>
      <c r="O7" s="190" t="s">
        <v>132</v>
      </c>
    </row>
    <row r="8" spans="1:15">
      <c r="A8" s="150" t="s">
        <v>120</v>
      </c>
      <c r="B8" s="150">
        <v>5</v>
      </c>
      <c r="C8" s="150">
        <v>5</v>
      </c>
      <c r="D8" s="150" t="s">
        <v>231</v>
      </c>
      <c r="E8" s="150" t="s">
        <v>231</v>
      </c>
      <c r="F8" s="150">
        <v>63</v>
      </c>
      <c r="G8" s="150" t="s">
        <v>234</v>
      </c>
      <c r="H8" s="150" t="s">
        <v>136</v>
      </c>
      <c r="I8" s="150" t="s">
        <v>239</v>
      </c>
      <c r="J8" s="150" t="s">
        <v>239</v>
      </c>
      <c r="K8" s="150" t="s">
        <v>284</v>
      </c>
      <c r="L8" s="190" t="s">
        <v>132</v>
      </c>
      <c r="M8" s="190" t="s">
        <v>132</v>
      </c>
      <c r="N8" s="190" t="s">
        <v>132</v>
      </c>
      <c r="O8" s="190" t="s">
        <v>132</v>
      </c>
    </row>
    <row r="9" spans="1:15">
      <c r="A9" s="150" t="s">
        <v>120</v>
      </c>
      <c r="B9" s="150">
        <v>5</v>
      </c>
      <c r="C9" s="150">
        <v>5</v>
      </c>
      <c r="D9" s="150" t="s">
        <v>231</v>
      </c>
      <c r="E9" s="150" t="s">
        <v>231</v>
      </c>
      <c r="F9" s="150">
        <v>63</v>
      </c>
      <c r="G9" s="150" t="s">
        <v>234</v>
      </c>
      <c r="H9" s="150" t="s">
        <v>136</v>
      </c>
      <c r="I9" s="150" t="s">
        <v>239</v>
      </c>
      <c r="J9" s="150" t="s">
        <v>239</v>
      </c>
      <c r="K9" s="150" t="s">
        <v>284</v>
      </c>
      <c r="L9" s="190" t="s">
        <v>132</v>
      </c>
      <c r="M9" s="190" t="s">
        <v>132</v>
      </c>
      <c r="N9" s="190" t="s">
        <v>132</v>
      </c>
      <c r="O9" s="19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89">
        <v>2105</v>
      </c>
      <c r="M10" s="189">
        <v>1978.3333333333333</v>
      </c>
      <c r="N10" s="189">
        <v>456.89167206242661</v>
      </c>
      <c r="O10" s="189">
        <v>383.47968220841432</v>
      </c>
    </row>
    <row r="11" spans="1:15">
      <c r="A11" s="150" t="s">
        <v>130</v>
      </c>
      <c r="B11" s="150">
        <v>6</v>
      </c>
      <c r="C11" s="150">
        <v>6</v>
      </c>
      <c r="D11" s="150" t="s">
        <v>231</v>
      </c>
      <c r="E11" s="150" t="s">
        <v>231</v>
      </c>
      <c r="F11" s="150">
        <v>63</v>
      </c>
      <c r="G11" s="150" t="s">
        <v>234</v>
      </c>
      <c r="H11" s="150" t="s">
        <v>136</v>
      </c>
      <c r="I11" s="150" t="s">
        <v>239</v>
      </c>
      <c r="J11" s="150" t="s">
        <v>239</v>
      </c>
      <c r="K11" s="150" t="s">
        <v>283</v>
      </c>
      <c r="L11" s="189">
        <v>2416.6666666666665</v>
      </c>
      <c r="M11" s="189">
        <v>2380</v>
      </c>
      <c r="N11" s="189">
        <v>524.62049775687103</v>
      </c>
      <c r="O11" s="189">
        <v>429.88370520409353</v>
      </c>
    </row>
    <row r="12" spans="1:15">
      <c r="A12" s="150" t="s">
        <v>130</v>
      </c>
      <c r="B12" s="150">
        <v>6</v>
      </c>
      <c r="C12" s="150">
        <v>6</v>
      </c>
      <c r="D12" s="150" t="s">
        <v>231</v>
      </c>
      <c r="E12" s="150" t="s">
        <v>231</v>
      </c>
      <c r="F12" s="150">
        <v>63</v>
      </c>
      <c r="G12" s="150" t="s">
        <v>234</v>
      </c>
      <c r="H12" s="150" t="s">
        <v>136</v>
      </c>
      <c r="I12" s="150" t="s">
        <v>239</v>
      </c>
      <c r="J12" s="150" t="s">
        <v>239</v>
      </c>
      <c r="K12" s="150" t="s">
        <v>283</v>
      </c>
      <c r="L12" s="189">
        <v>2085</v>
      </c>
      <c r="M12" s="189">
        <v>2916.6666666666665</v>
      </c>
      <c r="N12" s="189">
        <v>385.11037378912556</v>
      </c>
      <c r="O12" s="189">
        <v>754.7626558506106</v>
      </c>
    </row>
    <row r="13" spans="1:15">
      <c r="A13" s="150" t="s">
        <v>130</v>
      </c>
      <c r="B13" s="150">
        <v>6</v>
      </c>
      <c r="C13" s="150">
        <v>6</v>
      </c>
      <c r="D13" s="150" t="s">
        <v>231</v>
      </c>
      <c r="E13" s="150" t="s">
        <v>231</v>
      </c>
      <c r="F13" s="150">
        <v>63</v>
      </c>
      <c r="G13" s="150" t="s">
        <v>234</v>
      </c>
      <c r="H13" s="150" t="s">
        <v>136</v>
      </c>
      <c r="I13" s="150" t="s">
        <v>239</v>
      </c>
      <c r="J13" s="150" t="s">
        <v>240</v>
      </c>
      <c r="K13" s="150" t="s">
        <v>284</v>
      </c>
      <c r="L13" s="189">
        <v>2546.6666666666665</v>
      </c>
      <c r="M13" s="189">
        <v>2580</v>
      </c>
      <c r="N13" s="189">
        <v>581.26299268632886</v>
      </c>
      <c r="O13" s="189">
        <v>500.39984012787215</v>
      </c>
    </row>
    <row r="14" spans="1:15">
      <c r="A14" s="150" t="s">
        <v>131</v>
      </c>
      <c r="B14" s="150">
        <v>3</v>
      </c>
      <c r="C14" s="150">
        <v>3</v>
      </c>
      <c r="D14" s="150" t="s">
        <v>233</v>
      </c>
      <c r="E14" s="150" t="s">
        <v>228</v>
      </c>
      <c r="F14" s="150">
        <v>58</v>
      </c>
      <c r="G14" s="150" t="s">
        <v>234</v>
      </c>
      <c r="H14" s="150" t="s">
        <v>136</v>
      </c>
      <c r="I14" s="150" t="s">
        <v>132</v>
      </c>
      <c r="J14" s="150" t="s">
        <v>132</v>
      </c>
      <c r="K14" s="150" t="s">
        <v>284</v>
      </c>
      <c r="L14" s="190" t="s">
        <v>132</v>
      </c>
      <c r="M14" s="190" t="s">
        <v>132</v>
      </c>
      <c r="N14" s="190" t="s">
        <v>132</v>
      </c>
      <c r="O14" s="19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90" t="s">
        <v>132</v>
      </c>
      <c r="M15" s="190" t="s">
        <v>132</v>
      </c>
      <c r="N15" s="190" t="s">
        <v>132</v>
      </c>
      <c r="O15" s="19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90" t="s">
        <v>132</v>
      </c>
      <c r="M16" s="190" t="s">
        <v>132</v>
      </c>
      <c r="N16" s="190" t="s">
        <v>132</v>
      </c>
      <c r="O16" s="19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90" t="s">
        <v>132</v>
      </c>
      <c r="M17" s="190" t="s">
        <v>132</v>
      </c>
      <c r="N17" s="190" t="s">
        <v>132</v>
      </c>
      <c r="O17" s="19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90" t="s">
        <v>132</v>
      </c>
      <c r="M18" s="190" t="s">
        <v>132</v>
      </c>
      <c r="N18" s="190" t="s">
        <v>132</v>
      </c>
      <c r="O18" s="19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90" t="s">
        <v>132</v>
      </c>
      <c r="M19" s="190" t="s">
        <v>132</v>
      </c>
      <c r="N19" s="190" t="s">
        <v>132</v>
      </c>
      <c r="O19" s="19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90" t="s">
        <v>132</v>
      </c>
      <c r="M20" s="190" t="s">
        <v>132</v>
      </c>
      <c r="N20" s="190" t="s">
        <v>132</v>
      </c>
      <c r="O20" s="19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90" t="s">
        <v>132</v>
      </c>
      <c r="M21" s="190" t="s">
        <v>132</v>
      </c>
      <c r="N21" s="190" t="s">
        <v>132</v>
      </c>
      <c r="O21" s="190" t="s">
        <v>132</v>
      </c>
    </row>
    <row r="22" spans="1:15">
      <c r="A22" s="150" t="s">
        <v>133</v>
      </c>
      <c r="B22" s="150">
        <v>8</v>
      </c>
      <c r="C22" s="150">
        <v>8</v>
      </c>
      <c r="D22" s="150" t="s">
        <v>231</v>
      </c>
      <c r="E22" s="150" t="s">
        <v>231</v>
      </c>
      <c r="F22" s="150">
        <v>63</v>
      </c>
      <c r="G22" s="150" t="s">
        <v>234</v>
      </c>
      <c r="H22" s="150" t="s">
        <v>137</v>
      </c>
      <c r="I22" s="150" t="s">
        <v>239</v>
      </c>
      <c r="J22" s="151" t="s">
        <v>241</v>
      </c>
      <c r="K22" s="150" t="s">
        <v>284</v>
      </c>
      <c r="L22" s="190" t="s">
        <v>132</v>
      </c>
      <c r="M22" s="190" t="s">
        <v>132</v>
      </c>
      <c r="N22" s="190" t="s">
        <v>132</v>
      </c>
      <c r="O22" s="190" t="s">
        <v>132</v>
      </c>
    </row>
    <row r="23" spans="1:15">
      <c r="A23" s="150" t="s">
        <v>133</v>
      </c>
      <c r="B23" s="150">
        <v>8</v>
      </c>
      <c r="C23" s="150">
        <v>8</v>
      </c>
      <c r="D23" s="150" t="s">
        <v>231</v>
      </c>
      <c r="E23" s="150" t="s">
        <v>231</v>
      </c>
      <c r="F23" s="150">
        <v>63</v>
      </c>
      <c r="G23" s="150" t="s">
        <v>234</v>
      </c>
      <c r="H23" s="150" t="s">
        <v>137</v>
      </c>
      <c r="I23" s="150" t="s">
        <v>240</v>
      </c>
      <c r="J23" s="151" t="s">
        <v>241</v>
      </c>
      <c r="K23" s="150" t="s">
        <v>284</v>
      </c>
      <c r="L23" s="190" t="s">
        <v>132</v>
      </c>
      <c r="M23" s="190" t="s">
        <v>132</v>
      </c>
      <c r="N23" s="190" t="s">
        <v>132</v>
      </c>
      <c r="O23" s="190" t="s">
        <v>132</v>
      </c>
    </row>
    <row r="24" spans="1:15">
      <c r="A24" s="150" t="s">
        <v>133</v>
      </c>
      <c r="B24" s="150">
        <v>8</v>
      </c>
      <c r="C24" s="150">
        <v>8</v>
      </c>
      <c r="D24" s="150" t="s">
        <v>231</v>
      </c>
      <c r="E24" s="150" t="s">
        <v>231</v>
      </c>
      <c r="F24" s="150">
        <v>63</v>
      </c>
      <c r="G24" s="150" t="s">
        <v>234</v>
      </c>
      <c r="H24" s="150" t="s">
        <v>137</v>
      </c>
      <c r="I24" s="150" t="s">
        <v>239</v>
      </c>
      <c r="J24" s="151" t="s">
        <v>241</v>
      </c>
      <c r="K24" s="150" t="s">
        <v>284</v>
      </c>
      <c r="L24" s="190" t="s">
        <v>132</v>
      </c>
      <c r="M24" s="190" t="s">
        <v>132</v>
      </c>
      <c r="N24" s="190" t="s">
        <v>132</v>
      </c>
      <c r="O24" s="190" t="s">
        <v>132</v>
      </c>
    </row>
    <row r="25" spans="1:15">
      <c r="A25" s="150" t="s">
        <v>134</v>
      </c>
      <c r="B25" s="150">
        <v>4</v>
      </c>
      <c r="C25" s="150">
        <v>4</v>
      </c>
      <c r="D25" s="150" t="s">
        <v>231</v>
      </c>
      <c r="E25" s="150" t="s">
        <v>231</v>
      </c>
      <c r="F25" s="150">
        <v>72</v>
      </c>
      <c r="G25" s="150" t="s">
        <v>235</v>
      </c>
      <c r="H25" s="150" t="s">
        <v>136</v>
      </c>
      <c r="I25" s="150" t="s">
        <v>240</v>
      </c>
      <c r="J25" s="151" t="s">
        <v>241</v>
      </c>
      <c r="K25" s="150" t="s">
        <v>284</v>
      </c>
      <c r="L25" s="190" t="s">
        <v>132</v>
      </c>
      <c r="M25" s="190" t="s">
        <v>132</v>
      </c>
      <c r="N25" s="190" t="s">
        <v>132</v>
      </c>
      <c r="O25" s="19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90" t="s">
        <v>132</v>
      </c>
      <c r="M26" s="190" t="s">
        <v>132</v>
      </c>
      <c r="N26" s="190" t="s">
        <v>132</v>
      </c>
      <c r="O26" s="190" t="s">
        <v>132</v>
      </c>
    </row>
    <row r="27" spans="1:15">
      <c r="A27" s="150" t="s">
        <v>135</v>
      </c>
      <c r="B27" s="150">
        <v>6</v>
      </c>
      <c r="C27" s="150">
        <v>6</v>
      </c>
      <c r="D27" s="150" t="s">
        <v>231</v>
      </c>
      <c r="E27" s="150" t="s">
        <v>231</v>
      </c>
      <c r="F27" s="150">
        <v>79</v>
      </c>
      <c r="G27" s="150" t="s">
        <v>235</v>
      </c>
      <c r="H27" s="150" t="s">
        <v>136</v>
      </c>
      <c r="I27" s="150" t="s">
        <v>239</v>
      </c>
      <c r="J27" s="150" t="s">
        <v>240</v>
      </c>
      <c r="K27" s="150" t="s">
        <v>284</v>
      </c>
      <c r="L27" s="190" t="s">
        <v>132</v>
      </c>
      <c r="M27" s="190" t="s">
        <v>132</v>
      </c>
      <c r="N27" s="190" t="s">
        <v>132</v>
      </c>
      <c r="O27" s="190" t="s">
        <v>132</v>
      </c>
    </row>
    <row r="28" spans="1:15">
      <c r="A28" s="150" t="s">
        <v>138</v>
      </c>
      <c r="B28" s="150">
        <v>4</v>
      </c>
      <c r="C28" s="150">
        <v>4</v>
      </c>
      <c r="D28" s="150" t="s">
        <v>231</v>
      </c>
      <c r="E28" s="150" t="s">
        <v>231</v>
      </c>
      <c r="F28" s="150">
        <v>63</v>
      </c>
      <c r="G28" s="150" t="s">
        <v>235</v>
      </c>
      <c r="H28" s="150" t="s">
        <v>137</v>
      </c>
      <c r="I28" s="150" t="s">
        <v>132</v>
      </c>
      <c r="J28" s="150" t="s">
        <v>239</v>
      </c>
      <c r="K28" s="150" t="s">
        <v>285</v>
      </c>
      <c r="L28" s="190" t="s">
        <v>132</v>
      </c>
      <c r="M28" s="190" t="s">
        <v>132</v>
      </c>
      <c r="N28" s="190" t="s">
        <v>132</v>
      </c>
      <c r="O28" s="190" t="s">
        <v>132</v>
      </c>
    </row>
    <row r="29" spans="1:15">
      <c r="A29" s="150" t="s">
        <v>138</v>
      </c>
      <c r="B29" s="150">
        <v>4</v>
      </c>
      <c r="C29" s="150">
        <v>4</v>
      </c>
      <c r="D29" s="150" t="s">
        <v>231</v>
      </c>
      <c r="E29" s="150" t="s">
        <v>231</v>
      </c>
      <c r="F29" s="150">
        <v>63</v>
      </c>
      <c r="G29" s="150" t="s">
        <v>235</v>
      </c>
      <c r="H29" s="150" t="s">
        <v>137</v>
      </c>
      <c r="I29" s="150" t="s">
        <v>132</v>
      </c>
      <c r="J29" s="150" t="s">
        <v>239</v>
      </c>
      <c r="K29" s="150" t="s">
        <v>285</v>
      </c>
      <c r="L29" s="190" t="s">
        <v>132</v>
      </c>
      <c r="M29" s="190" t="s">
        <v>132</v>
      </c>
      <c r="N29" s="190" t="s">
        <v>132</v>
      </c>
      <c r="O29" s="190" t="s">
        <v>132</v>
      </c>
    </row>
    <row r="30" spans="1:15">
      <c r="A30" s="150" t="s">
        <v>139</v>
      </c>
      <c r="B30" s="150">
        <v>3</v>
      </c>
      <c r="C30" s="150">
        <v>3</v>
      </c>
      <c r="D30" s="150" t="s">
        <v>233</v>
      </c>
      <c r="E30" s="150" t="s">
        <v>228</v>
      </c>
      <c r="F30" s="150">
        <v>42</v>
      </c>
      <c r="G30" s="150" t="s">
        <v>234</v>
      </c>
      <c r="H30" s="150" t="s">
        <v>136</v>
      </c>
      <c r="I30" s="150" t="s">
        <v>132</v>
      </c>
      <c r="J30" s="150" t="s">
        <v>132</v>
      </c>
      <c r="K30" s="150" t="s">
        <v>283</v>
      </c>
      <c r="L30" s="190" t="s">
        <v>132</v>
      </c>
      <c r="M30" s="190" t="s">
        <v>132</v>
      </c>
      <c r="N30" s="190" t="s">
        <v>132</v>
      </c>
      <c r="O30" s="19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90" t="s">
        <v>132</v>
      </c>
      <c r="M31" s="190" t="s">
        <v>132</v>
      </c>
      <c r="N31" s="190" t="s">
        <v>132</v>
      </c>
      <c r="O31" s="19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90" t="s">
        <v>132</v>
      </c>
      <c r="M32" s="190" t="s">
        <v>132</v>
      </c>
      <c r="N32" s="190" t="s">
        <v>132</v>
      </c>
      <c r="O32" s="19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90" t="s">
        <v>132</v>
      </c>
      <c r="M33" s="190" t="s">
        <v>132</v>
      </c>
      <c r="N33" s="190" t="s">
        <v>132</v>
      </c>
      <c r="O33" s="19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90" t="s">
        <v>132</v>
      </c>
      <c r="M34" s="190" t="s">
        <v>132</v>
      </c>
      <c r="N34" s="190" t="s">
        <v>132</v>
      </c>
      <c r="O34" s="19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90" t="s">
        <v>132</v>
      </c>
      <c r="M35" s="190" t="s">
        <v>132</v>
      </c>
      <c r="N35" s="190" t="s">
        <v>132</v>
      </c>
      <c r="O35" s="19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90" t="s">
        <v>132</v>
      </c>
      <c r="M36" s="190" t="s">
        <v>132</v>
      </c>
      <c r="N36" s="190" t="s">
        <v>132</v>
      </c>
      <c r="O36" s="19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90" t="s">
        <v>132</v>
      </c>
      <c r="M37" s="190" t="s">
        <v>132</v>
      </c>
      <c r="N37" s="190" t="s">
        <v>132</v>
      </c>
      <c r="O37" s="19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90" t="s">
        <v>132</v>
      </c>
      <c r="M38" s="190" t="s">
        <v>132</v>
      </c>
      <c r="N38" s="190" t="s">
        <v>132</v>
      </c>
      <c r="O38" s="19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90" t="s">
        <v>132</v>
      </c>
      <c r="M39" s="190" t="s">
        <v>132</v>
      </c>
      <c r="N39" s="190" t="s">
        <v>132</v>
      </c>
      <c r="O39" s="19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90" t="s">
        <v>132</v>
      </c>
      <c r="M40" s="190" t="s">
        <v>132</v>
      </c>
      <c r="N40" s="190" t="s">
        <v>132</v>
      </c>
      <c r="O40" s="19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90" t="s">
        <v>132</v>
      </c>
      <c r="M41" s="190" t="s">
        <v>132</v>
      </c>
      <c r="N41" s="190" t="s">
        <v>132</v>
      </c>
      <c r="O41" s="19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90" t="s">
        <v>132</v>
      </c>
      <c r="M42" s="190" t="s">
        <v>132</v>
      </c>
      <c r="N42" s="190" t="s">
        <v>132</v>
      </c>
      <c r="O42" s="19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90" t="s">
        <v>132</v>
      </c>
      <c r="M43" s="190" t="s">
        <v>132</v>
      </c>
      <c r="N43" s="190" t="s">
        <v>132</v>
      </c>
      <c r="O43" s="19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90" t="s">
        <v>132</v>
      </c>
      <c r="M44" s="190" t="s">
        <v>132</v>
      </c>
      <c r="N44" s="190" t="s">
        <v>132</v>
      </c>
      <c r="O44" s="19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90" t="s">
        <v>132</v>
      </c>
      <c r="M45" s="190" t="s">
        <v>132</v>
      </c>
      <c r="N45" s="190" t="s">
        <v>132</v>
      </c>
      <c r="O45" s="19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90" t="s">
        <v>132</v>
      </c>
      <c r="M46" s="190" t="s">
        <v>132</v>
      </c>
      <c r="N46" s="190" t="s">
        <v>132</v>
      </c>
      <c r="O46" s="19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90" t="s">
        <v>132</v>
      </c>
      <c r="M47" s="190" t="s">
        <v>132</v>
      </c>
      <c r="N47" s="190" t="s">
        <v>132</v>
      </c>
      <c r="O47" s="19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90" t="s">
        <v>132</v>
      </c>
      <c r="M48" s="190" t="s">
        <v>132</v>
      </c>
      <c r="N48" s="190" t="s">
        <v>132</v>
      </c>
      <c r="O48" s="19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90" t="s">
        <v>132</v>
      </c>
      <c r="M49" s="190" t="s">
        <v>132</v>
      </c>
      <c r="N49" s="190" t="s">
        <v>132</v>
      </c>
      <c r="O49" s="19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90" t="s">
        <v>132</v>
      </c>
      <c r="M50" s="190" t="s">
        <v>132</v>
      </c>
      <c r="N50" s="190" t="s">
        <v>132</v>
      </c>
      <c r="O50" s="19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90" t="s">
        <v>132</v>
      </c>
      <c r="M51" s="190" t="s">
        <v>132</v>
      </c>
      <c r="N51" s="190" t="s">
        <v>132</v>
      </c>
      <c r="O51" s="19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90" t="s">
        <v>132</v>
      </c>
      <c r="M52" s="190" t="s">
        <v>132</v>
      </c>
      <c r="N52" s="190" t="s">
        <v>132</v>
      </c>
      <c r="O52" s="19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90" t="s">
        <v>132</v>
      </c>
      <c r="M53" s="190" t="s">
        <v>132</v>
      </c>
      <c r="N53" s="190" t="s">
        <v>132</v>
      </c>
      <c r="O53" s="19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90" t="s">
        <v>132</v>
      </c>
      <c r="M54" s="190" t="s">
        <v>132</v>
      </c>
      <c r="N54" s="190" t="s">
        <v>132</v>
      </c>
      <c r="O54" s="19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90" t="s">
        <v>132</v>
      </c>
      <c r="M55" s="190" t="s">
        <v>132</v>
      </c>
      <c r="N55" s="190" t="s">
        <v>132</v>
      </c>
      <c r="O55" s="19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90" t="s">
        <v>132</v>
      </c>
      <c r="M56" s="190" t="s">
        <v>132</v>
      </c>
      <c r="N56" s="190" t="s">
        <v>132</v>
      </c>
      <c r="O56" s="19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90" t="s">
        <v>132</v>
      </c>
      <c r="M57" s="190" t="s">
        <v>132</v>
      </c>
      <c r="N57" s="190" t="s">
        <v>132</v>
      </c>
      <c r="O57" s="19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90" t="s">
        <v>132</v>
      </c>
      <c r="M58" s="190" t="s">
        <v>132</v>
      </c>
      <c r="N58" s="190" t="s">
        <v>132</v>
      </c>
      <c r="O58" s="19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90" t="s">
        <v>132</v>
      </c>
      <c r="M59" s="190" t="s">
        <v>132</v>
      </c>
      <c r="N59" s="190" t="s">
        <v>132</v>
      </c>
      <c r="O59" s="19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90" t="s">
        <v>132</v>
      </c>
      <c r="M60" s="190" t="s">
        <v>132</v>
      </c>
      <c r="N60" s="190" t="s">
        <v>132</v>
      </c>
      <c r="O60" s="19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90" t="s">
        <v>132</v>
      </c>
      <c r="M61" s="190" t="s">
        <v>132</v>
      </c>
      <c r="N61" s="190" t="s">
        <v>132</v>
      </c>
      <c r="O61" s="19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90" t="s">
        <v>132</v>
      </c>
      <c r="M62" s="190" t="s">
        <v>132</v>
      </c>
      <c r="N62" s="190" t="s">
        <v>132</v>
      </c>
      <c r="O62" s="19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90" t="s">
        <v>132</v>
      </c>
      <c r="M63" s="190" t="s">
        <v>132</v>
      </c>
      <c r="N63" s="190" t="s">
        <v>132</v>
      </c>
      <c r="O63" s="19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90" t="s">
        <v>132</v>
      </c>
      <c r="M64" s="190" t="s">
        <v>132</v>
      </c>
      <c r="N64" s="190" t="s">
        <v>132</v>
      </c>
      <c r="O64" s="19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90" t="s">
        <v>132</v>
      </c>
      <c r="M65" s="190" t="s">
        <v>132</v>
      </c>
      <c r="N65" s="190" t="s">
        <v>132</v>
      </c>
      <c r="O65" s="19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90" t="s">
        <v>132</v>
      </c>
      <c r="M66" s="190" t="s">
        <v>132</v>
      </c>
      <c r="N66" s="190" t="s">
        <v>132</v>
      </c>
      <c r="O66" s="19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90" t="s">
        <v>132</v>
      </c>
      <c r="M67" s="190" t="s">
        <v>132</v>
      </c>
      <c r="N67" s="190" t="s">
        <v>132</v>
      </c>
      <c r="O67" s="19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90" t="s">
        <v>132</v>
      </c>
      <c r="M68" s="190" t="s">
        <v>132</v>
      </c>
      <c r="N68" s="190" t="s">
        <v>132</v>
      </c>
      <c r="O68" s="19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89">
        <v>2056</v>
      </c>
      <c r="M69" s="189">
        <v>3040</v>
      </c>
      <c r="N69" s="189">
        <v>114.36782764396638</v>
      </c>
      <c r="O69" s="189">
        <v>545.8937625582472</v>
      </c>
    </row>
    <row r="70" spans="1:15">
      <c r="A70" s="150" t="s">
        <v>146</v>
      </c>
      <c r="B70" s="150">
        <v>5</v>
      </c>
      <c r="C70" s="150">
        <v>5</v>
      </c>
      <c r="D70" s="150" t="s">
        <v>231</v>
      </c>
      <c r="E70" s="150" t="s">
        <v>231</v>
      </c>
      <c r="F70" s="150">
        <v>63</v>
      </c>
      <c r="G70" s="150" t="s">
        <v>234</v>
      </c>
      <c r="H70" s="150" t="s">
        <v>136</v>
      </c>
      <c r="I70" s="151" t="s">
        <v>239</v>
      </c>
      <c r="J70" s="150" t="s">
        <v>240</v>
      </c>
      <c r="K70" s="150" t="s">
        <v>283</v>
      </c>
      <c r="L70" s="189">
        <v>3980</v>
      </c>
      <c r="M70" s="189">
        <v>3380</v>
      </c>
      <c r="N70" s="189">
        <v>396.23225512317896</v>
      </c>
      <c r="O70" s="189">
        <v>228.03508501982759</v>
      </c>
    </row>
    <row r="71" spans="1:15">
      <c r="A71" s="150" t="s">
        <v>146</v>
      </c>
      <c r="B71" s="150">
        <v>5</v>
      </c>
      <c r="C71" s="150">
        <v>5</v>
      </c>
      <c r="D71" s="150" t="s">
        <v>231</v>
      </c>
      <c r="E71" s="150" t="s">
        <v>231</v>
      </c>
      <c r="F71" s="150">
        <v>63</v>
      </c>
      <c r="G71" s="150" t="s">
        <v>234</v>
      </c>
      <c r="H71" s="150" t="s">
        <v>136</v>
      </c>
      <c r="I71" s="151" t="s">
        <v>239</v>
      </c>
      <c r="J71" s="150" t="s">
        <v>240</v>
      </c>
      <c r="K71" s="150" t="s">
        <v>283</v>
      </c>
      <c r="L71" s="189">
        <v>4100</v>
      </c>
      <c r="M71" s="189">
        <v>3700</v>
      </c>
      <c r="N71" s="189">
        <v>418.33001326703777</v>
      </c>
      <c r="O71" s="189">
        <v>100</v>
      </c>
    </row>
    <row r="72" spans="1:15">
      <c r="A72" s="150" t="s">
        <v>146</v>
      </c>
      <c r="B72" s="150">
        <v>5</v>
      </c>
      <c r="C72" s="150">
        <v>5</v>
      </c>
      <c r="D72" s="150" t="s">
        <v>231</v>
      </c>
      <c r="E72" s="150" t="s">
        <v>231</v>
      </c>
      <c r="F72" s="150">
        <v>63</v>
      </c>
      <c r="G72" s="150" t="s">
        <v>234</v>
      </c>
      <c r="H72" s="150" t="s">
        <v>136</v>
      </c>
      <c r="I72" s="151" t="s">
        <v>239</v>
      </c>
      <c r="J72" s="150" t="s">
        <v>240</v>
      </c>
      <c r="K72" s="150" t="s">
        <v>283</v>
      </c>
      <c r="L72" s="189">
        <v>3720</v>
      </c>
      <c r="M72" s="189">
        <v>3140</v>
      </c>
      <c r="N72" s="189">
        <v>420.71367935925258</v>
      </c>
      <c r="O72" s="189">
        <v>320.93613071762422</v>
      </c>
    </row>
    <row r="73" spans="1:15">
      <c r="A73" s="150" t="s">
        <v>146</v>
      </c>
      <c r="B73" s="150">
        <v>5</v>
      </c>
      <c r="C73" s="150">
        <v>5</v>
      </c>
      <c r="D73" s="150" t="s">
        <v>231</v>
      </c>
      <c r="E73" s="150" t="s">
        <v>231</v>
      </c>
      <c r="F73" s="150">
        <v>63</v>
      </c>
      <c r="G73" s="150" t="s">
        <v>234</v>
      </c>
      <c r="H73" s="150" t="s">
        <v>136</v>
      </c>
      <c r="I73" s="151" t="s">
        <v>239</v>
      </c>
      <c r="J73" s="150" t="s">
        <v>240</v>
      </c>
      <c r="K73" s="150" t="s">
        <v>283</v>
      </c>
      <c r="L73" s="189">
        <v>4240</v>
      </c>
      <c r="M73" s="189">
        <v>3160</v>
      </c>
      <c r="N73" s="189">
        <v>181.65902124584949</v>
      </c>
      <c r="O73" s="189">
        <v>328.63353450309967</v>
      </c>
    </row>
    <row r="74" spans="1:15">
      <c r="A74" s="150" t="s">
        <v>146</v>
      </c>
      <c r="B74" s="150">
        <v>5</v>
      </c>
      <c r="C74" s="150">
        <v>5</v>
      </c>
      <c r="D74" s="150" t="s">
        <v>231</v>
      </c>
      <c r="E74" s="150" t="s">
        <v>231</v>
      </c>
      <c r="F74" s="150">
        <v>63</v>
      </c>
      <c r="G74" s="150" t="s">
        <v>234</v>
      </c>
      <c r="H74" s="150" t="s">
        <v>136</v>
      </c>
      <c r="I74" s="151" t="s">
        <v>240</v>
      </c>
      <c r="J74" s="151" t="s">
        <v>241</v>
      </c>
      <c r="K74" s="150" t="s">
        <v>283</v>
      </c>
      <c r="L74" s="189">
        <v>3680</v>
      </c>
      <c r="M74" s="189">
        <v>4060</v>
      </c>
      <c r="N74" s="189">
        <v>531.03672189407018</v>
      </c>
      <c r="O74" s="189">
        <v>502.99105359837165</v>
      </c>
    </row>
    <row r="75" spans="1:15">
      <c r="A75" s="150" t="s">
        <v>146</v>
      </c>
      <c r="B75" s="150">
        <v>5</v>
      </c>
      <c r="C75" s="150">
        <v>5</v>
      </c>
      <c r="D75" s="150" t="s">
        <v>231</v>
      </c>
      <c r="E75" s="150" t="s">
        <v>231</v>
      </c>
      <c r="F75" s="150">
        <v>63</v>
      </c>
      <c r="G75" s="150" t="s">
        <v>234</v>
      </c>
      <c r="H75" s="150" t="s">
        <v>136</v>
      </c>
      <c r="I75" s="151" t="s">
        <v>239</v>
      </c>
      <c r="J75" s="151" t="s">
        <v>241</v>
      </c>
      <c r="K75" s="150" t="s">
        <v>283</v>
      </c>
      <c r="L75" s="189">
        <v>4100</v>
      </c>
      <c r="M75" s="189">
        <v>3480</v>
      </c>
      <c r="N75" s="189">
        <v>469.04157598234298</v>
      </c>
      <c r="O75" s="189">
        <v>164.31676725154983</v>
      </c>
    </row>
    <row r="76" spans="1:15">
      <c r="A76" s="150" t="s">
        <v>146</v>
      </c>
      <c r="B76" s="150">
        <v>5</v>
      </c>
      <c r="C76" s="150">
        <v>5</v>
      </c>
      <c r="D76" s="150" t="s">
        <v>231</v>
      </c>
      <c r="E76" s="150" t="s">
        <v>231</v>
      </c>
      <c r="F76" s="150">
        <v>63</v>
      </c>
      <c r="G76" s="150" t="s">
        <v>234</v>
      </c>
      <c r="H76" s="150" t="s">
        <v>136</v>
      </c>
      <c r="I76" s="151" t="s">
        <v>239</v>
      </c>
      <c r="J76" s="151" t="s">
        <v>241</v>
      </c>
      <c r="K76" s="150" t="s">
        <v>283</v>
      </c>
      <c r="L76" s="189">
        <v>4460</v>
      </c>
      <c r="M76" s="189">
        <v>3780</v>
      </c>
      <c r="N76" s="189">
        <v>594.13803110051788</v>
      </c>
      <c r="O76" s="189">
        <v>238.74672772626644</v>
      </c>
    </row>
    <row r="77" spans="1:15">
      <c r="A77" s="150" t="s">
        <v>146</v>
      </c>
      <c r="B77" s="150">
        <v>5</v>
      </c>
      <c r="C77" s="150">
        <v>5</v>
      </c>
      <c r="D77" s="150" t="s">
        <v>231</v>
      </c>
      <c r="E77" s="150" t="s">
        <v>231</v>
      </c>
      <c r="F77" s="150">
        <v>63</v>
      </c>
      <c r="G77" s="150" t="s">
        <v>234</v>
      </c>
      <c r="H77" s="150" t="s">
        <v>136</v>
      </c>
      <c r="I77" s="151" t="s">
        <v>239</v>
      </c>
      <c r="J77" s="151" t="s">
        <v>241</v>
      </c>
      <c r="K77" s="150" t="s">
        <v>283</v>
      </c>
      <c r="L77" s="189">
        <v>4780</v>
      </c>
      <c r="M77" s="189">
        <v>3720</v>
      </c>
      <c r="N77" s="189">
        <v>571.83913821983185</v>
      </c>
      <c r="O77" s="189">
        <v>294.95762407505254</v>
      </c>
    </row>
    <row r="78" spans="1:15">
      <c r="A78" s="150" t="s">
        <v>146</v>
      </c>
      <c r="B78" s="150">
        <v>5</v>
      </c>
      <c r="C78" s="150">
        <v>5</v>
      </c>
      <c r="D78" s="150" t="s">
        <v>231</v>
      </c>
      <c r="E78" s="150" t="s">
        <v>231</v>
      </c>
      <c r="F78" s="150">
        <v>63</v>
      </c>
      <c r="G78" s="150" t="s">
        <v>234</v>
      </c>
      <c r="H78" s="150" t="s">
        <v>136</v>
      </c>
      <c r="I78" s="151" t="s">
        <v>239</v>
      </c>
      <c r="J78" s="151" t="s">
        <v>241</v>
      </c>
      <c r="K78" s="150" t="s">
        <v>283</v>
      </c>
      <c r="L78" s="189">
        <v>5340</v>
      </c>
      <c r="M78" s="189">
        <v>3940</v>
      </c>
      <c r="N78" s="189">
        <v>669.32802122726048</v>
      </c>
      <c r="O78" s="189">
        <v>371.48351242013422</v>
      </c>
    </row>
    <row r="79" spans="1:15">
      <c r="A79" s="150" t="s">
        <v>147</v>
      </c>
      <c r="B79" s="150">
        <v>5</v>
      </c>
      <c r="C79" s="150">
        <v>5</v>
      </c>
      <c r="D79" s="150" t="s">
        <v>231</v>
      </c>
      <c r="E79" s="150" t="s">
        <v>231</v>
      </c>
      <c r="F79" s="150">
        <v>63</v>
      </c>
      <c r="G79" s="150" t="s">
        <v>234</v>
      </c>
      <c r="H79" s="150" t="s">
        <v>136</v>
      </c>
      <c r="I79" s="151" t="s">
        <v>240</v>
      </c>
      <c r="J79" s="150" t="s">
        <v>240</v>
      </c>
      <c r="K79" s="150" t="s">
        <v>283</v>
      </c>
      <c r="L79" s="189">
        <v>2388</v>
      </c>
      <c r="M79" s="189">
        <v>2840</v>
      </c>
      <c r="N79" s="189">
        <v>459.04248169423272</v>
      </c>
      <c r="O79" s="189">
        <v>497.9959839195493</v>
      </c>
    </row>
    <row r="80" spans="1:15">
      <c r="A80" s="150" t="s">
        <v>147</v>
      </c>
      <c r="B80" s="150">
        <v>5</v>
      </c>
      <c r="C80" s="150">
        <v>5</v>
      </c>
      <c r="D80" s="150" t="s">
        <v>231</v>
      </c>
      <c r="E80" s="150" t="s">
        <v>231</v>
      </c>
      <c r="F80" s="150">
        <v>63</v>
      </c>
      <c r="G80" s="150" t="s">
        <v>234</v>
      </c>
      <c r="H80" s="150" t="s">
        <v>136</v>
      </c>
      <c r="I80" s="151" t="s">
        <v>240</v>
      </c>
      <c r="J80" s="151" t="s">
        <v>241</v>
      </c>
      <c r="K80" s="150" t="s">
        <v>283</v>
      </c>
      <c r="L80" s="189">
        <v>2640</v>
      </c>
      <c r="M80" s="189">
        <v>3540</v>
      </c>
      <c r="N80" s="189">
        <v>167.33200530681512</v>
      </c>
      <c r="O80" s="189">
        <v>313.04951684997053</v>
      </c>
    </row>
    <row r="81" spans="1:15">
      <c r="A81" s="150" t="s">
        <v>147</v>
      </c>
      <c r="B81" s="150">
        <v>5</v>
      </c>
      <c r="C81" s="150">
        <v>5</v>
      </c>
      <c r="D81" s="150" t="s">
        <v>231</v>
      </c>
      <c r="E81" s="150" t="s">
        <v>231</v>
      </c>
      <c r="F81" s="150">
        <v>63</v>
      </c>
      <c r="G81" s="150" t="s">
        <v>234</v>
      </c>
      <c r="H81" s="150" t="s">
        <v>136</v>
      </c>
      <c r="I81" s="151" t="s">
        <v>240</v>
      </c>
      <c r="J81" s="151" t="s">
        <v>241</v>
      </c>
      <c r="K81" s="150" t="s">
        <v>283</v>
      </c>
      <c r="L81" s="189">
        <v>4080</v>
      </c>
      <c r="M81" s="189">
        <v>4540</v>
      </c>
      <c r="N81" s="189">
        <v>349.28498393145964</v>
      </c>
      <c r="O81" s="189">
        <v>642.6507605223851</v>
      </c>
    </row>
    <row r="82" spans="1:15">
      <c r="A82" s="150" t="s">
        <v>147</v>
      </c>
      <c r="B82" s="150">
        <v>5</v>
      </c>
      <c r="C82" s="150">
        <v>5</v>
      </c>
      <c r="D82" s="150" t="s">
        <v>231</v>
      </c>
      <c r="E82" s="150" t="s">
        <v>231</v>
      </c>
      <c r="F82" s="150">
        <v>63</v>
      </c>
      <c r="G82" s="150" t="s">
        <v>234</v>
      </c>
      <c r="H82" s="150" t="s">
        <v>136</v>
      </c>
      <c r="I82" s="151" t="s">
        <v>240</v>
      </c>
      <c r="J82" s="151" t="s">
        <v>241</v>
      </c>
      <c r="K82" s="150" t="s">
        <v>283</v>
      </c>
      <c r="L82" s="189">
        <v>5040</v>
      </c>
      <c r="M82" s="189">
        <v>4600</v>
      </c>
      <c r="N82" s="189">
        <v>320.93613071762422</v>
      </c>
      <c r="O82" s="189">
        <v>583.09518948453001</v>
      </c>
    </row>
    <row r="83" spans="1:15">
      <c r="A83" s="150" t="s">
        <v>147</v>
      </c>
      <c r="B83" s="150">
        <v>5</v>
      </c>
      <c r="C83" s="150">
        <v>5</v>
      </c>
      <c r="D83" s="150" t="s">
        <v>231</v>
      </c>
      <c r="E83" s="150" t="s">
        <v>231</v>
      </c>
      <c r="F83" s="150">
        <v>63</v>
      </c>
      <c r="G83" s="150" t="s">
        <v>234</v>
      </c>
      <c r="H83" s="150" t="s">
        <v>136</v>
      </c>
      <c r="I83" s="151" t="s">
        <v>240</v>
      </c>
      <c r="J83" s="151" t="s">
        <v>241</v>
      </c>
      <c r="K83" s="150" t="s">
        <v>283</v>
      </c>
      <c r="L83" s="189">
        <v>5180</v>
      </c>
      <c r="M83" s="189">
        <v>5480</v>
      </c>
      <c r="N83" s="189">
        <v>238.74672772626644</v>
      </c>
      <c r="O83" s="189">
        <v>576.19441163551733</v>
      </c>
    </row>
    <row r="84" spans="1:15">
      <c r="A84" s="150" t="s">
        <v>147</v>
      </c>
      <c r="B84" s="150">
        <v>5</v>
      </c>
      <c r="C84" s="150">
        <v>5</v>
      </c>
      <c r="D84" s="150" t="s">
        <v>231</v>
      </c>
      <c r="E84" s="150" t="s">
        <v>231</v>
      </c>
      <c r="F84" s="150">
        <v>63</v>
      </c>
      <c r="G84" s="150" t="s">
        <v>234</v>
      </c>
      <c r="H84" s="150" t="s">
        <v>136</v>
      </c>
      <c r="I84" s="151" t="s">
        <v>239</v>
      </c>
      <c r="J84" s="150" t="s">
        <v>240</v>
      </c>
      <c r="K84" s="150" t="s">
        <v>283</v>
      </c>
      <c r="L84" s="189">
        <v>2900</v>
      </c>
      <c r="M84" s="189">
        <v>2640</v>
      </c>
      <c r="N84" s="189">
        <v>244.94897427831782</v>
      </c>
      <c r="O84" s="189">
        <v>194.93588689617928</v>
      </c>
    </row>
    <row r="85" spans="1:15">
      <c r="A85" s="150" t="s">
        <v>147</v>
      </c>
      <c r="B85" s="150">
        <v>5</v>
      </c>
      <c r="C85" s="150">
        <v>5</v>
      </c>
      <c r="D85" s="150" t="s">
        <v>231</v>
      </c>
      <c r="E85" s="150" t="s">
        <v>231</v>
      </c>
      <c r="F85" s="150">
        <v>63</v>
      </c>
      <c r="G85" s="150" t="s">
        <v>234</v>
      </c>
      <c r="H85" s="150" t="s">
        <v>136</v>
      </c>
      <c r="I85" s="151" t="s">
        <v>239</v>
      </c>
      <c r="J85" s="151" t="s">
        <v>241</v>
      </c>
      <c r="K85" s="150" t="s">
        <v>283</v>
      </c>
      <c r="L85" s="189">
        <v>3060</v>
      </c>
      <c r="M85" s="189">
        <v>2860</v>
      </c>
      <c r="N85" s="189">
        <v>89.442719099991592</v>
      </c>
      <c r="O85" s="189">
        <v>391.1521443121589</v>
      </c>
    </row>
    <row r="86" spans="1:15">
      <c r="A86" s="150" t="s">
        <v>147</v>
      </c>
      <c r="B86" s="150">
        <v>5</v>
      </c>
      <c r="C86" s="150">
        <v>5</v>
      </c>
      <c r="D86" s="150" t="s">
        <v>231</v>
      </c>
      <c r="E86" s="150" t="s">
        <v>231</v>
      </c>
      <c r="F86" s="150">
        <v>63</v>
      </c>
      <c r="G86" s="150" t="s">
        <v>234</v>
      </c>
      <c r="H86" s="150" t="s">
        <v>136</v>
      </c>
      <c r="I86" s="151" t="s">
        <v>239</v>
      </c>
      <c r="J86" s="151" t="s">
        <v>241</v>
      </c>
      <c r="K86" s="150" t="s">
        <v>283</v>
      </c>
      <c r="L86" s="189">
        <v>3260</v>
      </c>
      <c r="M86" s="189">
        <v>3320</v>
      </c>
      <c r="N86" s="189">
        <v>54.772255750516614</v>
      </c>
      <c r="O86" s="189">
        <v>248.99799195977465</v>
      </c>
    </row>
    <row r="87" spans="1:15">
      <c r="A87" s="150" t="s">
        <v>147</v>
      </c>
      <c r="B87" s="150">
        <v>5</v>
      </c>
      <c r="C87" s="150">
        <v>5</v>
      </c>
      <c r="D87" s="150" t="s">
        <v>231</v>
      </c>
      <c r="E87" s="150" t="s">
        <v>231</v>
      </c>
      <c r="F87" s="150">
        <v>63</v>
      </c>
      <c r="G87" s="150" t="s">
        <v>234</v>
      </c>
      <c r="H87" s="150" t="s">
        <v>136</v>
      </c>
      <c r="I87" s="151" t="s">
        <v>239</v>
      </c>
      <c r="J87" s="151" t="s">
        <v>241</v>
      </c>
      <c r="K87" s="150" t="s">
        <v>283</v>
      </c>
      <c r="L87" s="189">
        <v>3860</v>
      </c>
      <c r="M87" s="189">
        <v>3480</v>
      </c>
      <c r="N87" s="189">
        <v>304.95901363953811</v>
      </c>
      <c r="O87" s="189">
        <v>238.74672772626644</v>
      </c>
    </row>
    <row r="88" spans="1:15">
      <c r="A88" s="150" t="s">
        <v>147</v>
      </c>
      <c r="B88" s="150">
        <v>5</v>
      </c>
      <c r="C88" s="150">
        <v>5</v>
      </c>
      <c r="D88" s="150" t="s">
        <v>231</v>
      </c>
      <c r="E88" s="150" t="s">
        <v>231</v>
      </c>
      <c r="F88" s="150">
        <v>63</v>
      </c>
      <c r="G88" s="150" t="s">
        <v>234</v>
      </c>
      <c r="H88" s="150" t="s">
        <v>136</v>
      </c>
      <c r="I88" s="151" t="s">
        <v>239</v>
      </c>
      <c r="J88" s="151" t="s">
        <v>241</v>
      </c>
      <c r="K88" s="150" t="s">
        <v>283</v>
      </c>
      <c r="L88" s="189">
        <v>3880</v>
      </c>
      <c r="M88" s="189">
        <v>3720</v>
      </c>
      <c r="N88" s="189">
        <v>356.37059362410923</v>
      </c>
      <c r="O88" s="189">
        <v>563.02753041036988</v>
      </c>
    </row>
    <row r="89" spans="1:15">
      <c r="A89" s="150" t="s">
        <v>148</v>
      </c>
      <c r="B89" s="150">
        <v>5</v>
      </c>
      <c r="C89" s="150">
        <v>5</v>
      </c>
      <c r="D89" s="150" t="s">
        <v>231</v>
      </c>
      <c r="E89" s="150" t="s">
        <v>231</v>
      </c>
      <c r="F89" s="150">
        <v>56</v>
      </c>
      <c r="G89" s="150" t="s">
        <v>234</v>
      </c>
      <c r="H89" s="150" t="s">
        <v>136</v>
      </c>
      <c r="I89" s="151" t="s">
        <v>239</v>
      </c>
      <c r="J89" s="151" t="s">
        <v>241</v>
      </c>
      <c r="K89" s="150" t="s">
        <v>283</v>
      </c>
      <c r="L89" s="189">
        <v>3320</v>
      </c>
      <c r="M89" s="189">
        <v>3340</v>
      </c>
      <c r="N89" s="189">
        <v>130.38404810405297</v>
      </c>
      <c r="O89" s="189">
        <v>288.09720581775866</v>
      </c>
    </row>
    <row r="90" spans="1:15">
      <c r="A90" s="150" t="s">
        <v>148</v>
      </c>
      <c r="B90" s="150">
        <v>5</v>
      </c>
      <c r="C90" s="150">
        <v>5</v>
      </c>
      <c r="D90" s="150" t="s">
        <v>231</v>
      </c>
      <c r="E90" s="150" t="s">
        <v>231</v>
      </c>
      <c r="F90" s="150">
        <v>56</v>
      </c>
      <c r="G90" s="150" t="s">
        <v>234</v>
      </c>
      <c r="H90" s="150" t="s">
        <v>136</v>
      </c>
      <c r="I90" s="151" t="s">
        <v>239</v>
      </c>
      <c r="J90" s="151" t="s">
        <v>241</v>
      </c>
      <c r="K90" s="150" t="s">
        <v>283</v>
      </c>
      <c r="L90" s="189">
        <v>3220</v>
      </c>
      <c r="M90" s="189">
        <v>3440</v>
      </c>
      <c r="N90" s="189">
        <v>303.31501776206204</v>
      </c>
      <c r="O90" s="189">
        <v>114.0175425099138</v>
      </c>
    </row>
    <row r="91" spans="1:15">
      <c r="A91" s="150" t="s">
        <v>148</v>
      </c>
      <c r="B91" s="150">
        <v>5</v>
      </c>
      <c r="C91" s="150">
        <v>5</v>
      </c>
      <c r="D91" s="150" t="s">
        <v>231</v>
      </c>
      <c r="E91" s="150" t="s">
        <v>231</v>
      </c>
      <c r="F91" s="150">
        <v>56</v>
      </c>
      <c r="G91" s="150" t="s">
        <v>234</v>
      </c>
      <c r="H91" s="150" t="s">
        <v>136</v>
      </c>
      <c r="I91" s="151" t="s">
        <v>239</v>
      </c>
      <c r="J91" s="151" t="s">
        <v>241</v>
      </c>
      <c r="K91" s="150" t="s">
        <v>283</v>
      </c>
      <c r="L91" s="189">
        <v>3040</v>
      </c>
      <c r="M91" s="189">
        <v>3240</v>
      </c>
      <c r="N91" s="189">
        <v>260.76809620810593</v>
      </c>
      <c r="O91" s="189">
        <v>288.09720581775866</v>
      </c>
    </row>
    <row r="92" spans="1:15">
      <c r="A92" s="150" t="s">
        <v>148</v>
      </c>
      <c r="B92" s="150">
        <v>5</v>
      </c>
      <c r="C92" s="150">
        <v>5</v>
      </c>
      <c r="D92" s="150" t="s">
        <v>231</v>
      </c>
      <c r="E92" s="150" t="s">
        <v>231</v>
      </c>
      <c r="F92" s="150">
        <v>56</v>
      </c>
      <c r="G92" s="150" t="s">
        <v>234</v>
      </c>
      <c r="H92" s="150" t="s">
        <v>136</v>
      </c>
      <c r="I92" s="151" t="s">
        <v>239</v>
      </c>
      <c r="J92" s="151" t="s">
        <v>241</v>
      </c>
      <c r="K92" s="150" t="s">
        <v>283</v>
      </c>
      <c r="L92" s="189">
        <v>3460</v>
      </c>
      <c r="M92" s="189">
        <v>3660</v>
      </c>
      <c r="N92" s="189">
        <v>114.0175425099138</v>
      </c>
      <c r="O92" s="189">
        <v>151.65750888103102</v>
      </c>
    </row>
    <row r="93" spans="1:15">
      <c r="A93" s="150" t="s">
        <v>148</v>
      </c>
      <c r="B93" s="150">
        <v>5</v>
      </c>
      <c r="C93" s="150">
        <v>5</v>
      </c>
      <c r="D93" s="150" t="s">
        <v>231</v>
      </c>
      <c r="E93" s="150" t="s">
        <v>231</v>
      </c>
      <c r="F93" s="150">
        <v>56</v>
      </c>
      <c r="G93" s="150" t="s">
        <v>234</v>
      </c>
      <c r="H93" s="150" t="s">
        <v>136</v>
      </c>
      <c r="I93" s="151" t="s">
        <v>239</v>
      </c>
      <c r="J93" s="151" t="s">
        <v>241</v>
      </c>
      <c r="K93" s="150" t="s">
        <v>283</v>
      </c>
      <c r="L93" s="189">
        <v>3060</v>
      </c>
      <c r="M93" s="189">
        <v>3320</v>
      </c>
      <c r="N93" s="189">
        <v>320.93613071762422</v>
      </c>
      <c r="O93" s="189">
        <v>130.38404810405297</v>
      </c>
    </row>
    <row r="94" spans="1:15">
      <c r="A94" s="150" t="s">
        <v>148</v>
      </c>
      <c r="B94" s="150">
        <v>5</v>
      </c>
      <c r="C94" s="150">
        <v>5</v>
      </c>
      <c r="D94" s="150" t="s">
        <v>231</v>
      </c>
      <c r="E94" s="150" t="s">
        <v>231</v>
      </c>
      <c r="F94" s="150">
        <v>56</v>
      </c>
      <c r="G94" s="150" t="s">
        <v>234</v>
      </c>
      <c r="H94" s="150" t="s">
        <v>136</v>
      </c>
      <c r="I94" s="151" t="s">
        <v>239</v>
      </c>
      <c r="J94" s="151" t="s">
        <v>241</v>
      </c>
      <c r="K94" s="150" t="s">
        <v>283</v>
      </c>
      <c r="L94" s="189">
        <v>3560</v>
      </c>
      <c r="M94" s="189">
        <v>3520</v>
      </c>
      <c r="N94" s="189">
        <v>288.09720581775866</v>
      </c>
      <c r="O94" s="189">
        <v>148.32396974191326</v>
      </c>
    </row>
    <row r="95" spans="1:15">
      <c r="A95" s="150" t="s">
        <v>149</v>
      </c>
      <c r="B95" s="150">
        <v>6</v>
      </c>
      <c r="C95" s="150">
        <v>6</v>
      </c>
      <c r="D95" s="150" t="s">
        <v>231</v>
      </c>
      <c r="E95" s="150" t="s">
        <v>231</v>
      </c>
      <c r="F95" s="150">
        <v>36</v>
      </c>
      <c r="G95" s="150" t="s">
        <v>234</v>
      </c>
      <c r="H95" s="150" t="s">
        <v>137</v>
      </c>
      <c r="I95" s="150" t="s">
        <v>132</v>
      </c>
      <c r="J95" s="150" t="s">
        <v>132</v>
      </c>
      <c r="K95" s="150" t="s">
        <v>283</v>
      </c>
      <c r="L95" s="190" t="s">
        <v>132</v>
      </c>
      <c r="M95" s="190" t="s">
        <v>132</v>
      </c>
      <c r="N95" s="190" t="s">
        <v>132</v>
      </c>
      <c r="O95" s="19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90" t="s">
        <v>132</v>
      </c>
      <c r="M96" s="190" t="s">
        <v>132</v>
      </c>
      <c r="N96" s="190" t="s">
        <v>132</v>
      </c>
      <c r="O96" s="19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90" t="s">
        <v>132</v>
      </c>
      <c r="M97" s="190" t="s">
        <v>132</v>
      </c>
      <c r="N97" s="190" t="s">
        <v>132</v>
      </c>
      <c r="O97" s="19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90" t="s">
        <v>132</v>
      </c>
      <c r="M98" s="190" t="s">
        <v>132</v>
      </c>
      <c r="N98" s="190" t="s">
        <v>132</v>
      </c>
      <c r="O98" s="19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90" t="s">
        <v>132</v>
      </c>
      <c r="M99" s="190" t="s">
        <v>132</v>
      </c>
      <c r="N99" s="190" t="s">
        <v>132</v>
      </c>
      <c r="O99" s="19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90" t="s">
        <v>132</v>
      </c>
      <c r="M100" s="190" t="s">
        <v>132</v>
      </c>
      <c r="N100" s="190" t="s">
        <v>132</v>
      </c>
      <c r="O100" s="190" t="s">
        <v>132</v>
      </c>
    </row>
  </sheetData>
  <pageMargins left="0.75" right="0.75" top="1" bottom="1" header="0.5" footer="0.5"/>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100"/>
  <sheetViews>
    <sheetView workbookViewId="0">
      <selection activeCell="L1" sqref="L1:O104857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5" width="10.83203125" style="152"/>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311</v>
      </c>
      <c r="M1" s="150" t="s">
        <v>312</v>
      </c>
      <c r="N1" s="150" t="s">
        <v>313</v>
      </c>
      <c r="O1" s="150" t="s">
        <v>314</v>
      </c>
    </row>
    <row r="2" spans="1:15">
      <c r="A2" s="150" t="s">
        <v>119</v>
      </c>
      <c r="B2" s="150">
        <v>3</v>
      </c>
      <c r="C2" s="150">
        <v>3</v>
      </c>
      <c r="D2" s="150" t="s">
        <v>233</v>
      </c>
      <c r="E2" s="150" t="s">
        <v>229</v>
      </c>
      <c r="F2" s="150">
        <v>42</v>
      </c>
      <c r="G2" s="150" t="s">
        <v>234</v>
      </c>
      <c r="H2" s="150" t="s">
        <v>136</v>
      </c>
      <c r="I2" s="150" t="s">
        <v>132</v>
      </c>
      <c r="J2" s="150" t="s">
        <v>132</v>
      </c>
      <c r="K2" s="150" t="s">
        <v>132</v>
      </c>
      <c r="L2" s="190" t="s">
        <v>132</v>
      </c>
      <c r="M2" s="190" t="s">
        <v>132</v>
      </c>
      <c r="N2" s="190" t="s">
        <v>132</v>
      </c>
      <c r="O2" s="190" t="s">
        <v>132</v>
      </c>
    </row>
    <row r="3" spans="1:15">
      <c r="A3" s="150" t="s">
        <v>119</v>
      </c>
      <c r="B3" s="150">
        <v>3</v>
      </c>
      <c r="C3" s="150">
        <v>3</v>
      </c>
      <c r="D3" s="150" t="s">
        <v>233</v>
      </c>
      <c r="E3" s="150" t="s">
        <v>229</v>
      </c>
      <c r="F3" s="150">
        <v>42</v>
      </c>
      <c r="G3" s="150" t="s">
        <v>234</v>
      </c>
      <c r="H3" s="150" t="s">
        <v>136</v>
      </c>
      <c r="I3" s="150" t="s">
        <v>132</v>
      </c>
      <c r="J3" s="150" t="s">
        <v>132</v>
      </c>
      <c r="K3" s="150" t="s">
        <v>132</v>
      </c>
      <c r="L3" s="190" t="s">
        <v>132</v>
      </c>
      <c r="M3" s="190" t="s">
        <v>132</v>
      </c>
      <c r="N3" s="190" t="s">
        <v>132</v>
      </c>
      <c r="O3" s="190" t="s">
        <v>132</v>
      </c>
    </row>
    <row r="4" spans="1:15">
      <c r="A4" s="150" t="s">
        <v>120</v>
      </c>
      <c r="B4" s="150">
        <v>5</v>
      </c>
      <c r="C4" s="150">
        <v>5</v>
      </c>
      <c r="D4" s="150" t="s">
        <v>231</v>
      </c>
      <c r="E4" s="150" t="s">
        <v>231</v>
      </c>
      <c r="F4" s="150">
        <v>63</v>
      </c>
      <c r="G4" s="150" t="s">
        <v>234</v>
      </c>
      <c r="H4" s="150" t="s">
        <v>136</v>
      </c>
      <c r="I4" s="150" t="s">
        <v>239</v>
      </c>
      <c r="J4" s="150" t="s">
        <v>239</v>
      </c>
      <c r="K4" s="150" t="s">
        <v>284</v>
      </c>
      <c r="L4" s="190" t="s">
        <v>132</v>
      </c>
      <c r="M4" s="190" t="s">
        <v>132</v>
      </c>
      <c r="N4" s="190" t="s">
        <v>132</v>
      </c>
      <c r="O4" s="190" t="s">
        <v>132</v>
      </c>
    </row>
    <row r="5" spans="1:15">
      <c r="A5" s="150" t="s">
        <v>120</v>
      </c>
      <c r="B5" s="150">
        <v>5</v>
      </c>
      <c r="C5" s="150">
        <v>5</v>
      </c>
      <c r="D5" s="150" t="s">
        <v>231</v>
      </c>
      <c r="E5" s="150" t="s">
        <v>231</v>
      </c>
      <c r="F5" s="150">
        <v>63</v>
      </c>
      <c r="G5" s="150" t="s">
        <v>234</v>
      </c>
      <c r="H5" s="150" t="s">
        <v>136</v>
      </c>
      <c r="I5" s="150" t="s">
        <v>239</v>
      </c>
      <c r="J5" s="150" t="s">
        <v>239</v>
      </c>
      <c r="K5" s="150" t="s">
        <v>284</v>
      </c>
      <c r="L5" s="190" t="s">
        <v>132</v>
      </c>
      <c r="M5" s="190" t="s">
        <v>132</v>
      </c>
      <c r="N5" s="190" t="s">
        <v>132</v>
      </c>
      <c r="O5" s="190" t="s">
        <v>132</v>
      </c>
    </row>
    <row r="6" spans="1:15">
      <c r="A6" s="150" t="s">
        <v>120</v>
      </c>
      <c r="B6" s="150">
        <v>5</v>
      </c>
      <c r="C6" s="150">
        <v>5</v>
      </c>
      <c r="D6" s="150" t="s">
        <v>231</v>
      </c>
      <c r="E6" s="150" t="s">
        <v>231</v>
      </c>
      <c r="F6" s="150">
        <v>63</v>
      </c>
      <c r="G6" s="150" t="s">
        <v>234</v>
      </c>
      <c r="H6" s="150" t="s">
        <v>136</v>
      </c>
      <c r="I6" s="150" t="s">
        <v>239</v>
      </c>
      <c r="J6" s="150" t="s">
        <v>239</v>
      </c>
      <c r="K6" s="150" t="s">
        <v>284</v>
      </c>
      <c r="L6" s="190" t="s">
        <v>132</v>
      </c>
      <c r="M6" s="190" t="s">
        <v>132</v>
      </c>
      <c r="N6" s="190" t="s">
        <v>132</v>
      </c>
      <c r="O6" s="190" t="s">
        <v>132</v>
      </c>
    </row>
    <row r="7" spans="1:15">
      <c r="A7" s="150" t="s">
        <v>120</v>
      </c>
      <c r="B7" s="150">
        <v>5</v>
      </c>
      <c r="C7" s="150">
        <v>5</v>
      </c>
      <c r="D7" s="150" t="s">
        <v>231</v>
      </c>
      <c r="E7" s="150" t="s">
        <v>231</v>
      </c>
      <c r="F7" s="150">
        <v>63</v>
      </c>
      <c r="G7" s="150" t="s">
        <v>234</v>
      </c>
      <c r="H7" s="150" t="s">
        <v>136</v>
      </c>
      <c r="I7" s="150" t="s">
        <v>239</v>
      </c>
      <c r="J7" s="150" t="s">
        <v>239</v>
      </c>
      <c r="K7" s="150" t="s">
        <v>284</v>
      </c>
      <c r="L7" s="190" t="s">
        <v>132</v>
      </c>
      <c r="M7" s="190" t="s">
        <v>132</v>
      </c>
      <c r="N7" s="190" t="s">
        <v>132</v>
      </c>
      <c r="O7" s="190" t="s">
        <v>132</v>
      </c>
    </row>
    <row r="8" spans="1:15">
      <c r="A8" s="150" t="s">
        <v>120</v>
      </c>
      <c r="B8" s="150">
        <v>5</v>
      </c>
      <c r="C8" s="150">
        <v>5</v>
      </c>
      <c r="D8" s="150" t="s">
        <v>231</v>
      </c>
      <c r="E8" s="150" t="s">
        <v>231</v>
      </c>
      <c r="F8" s="150">
        <v>63</v>
      </c>
      <c r="G8" s="150" t="s">
        <v>234</v>
      </c>
      <c r="H8" s="150" t="s">
        <v>136</v>
      </c>
      <c r="I8" s="150" t="s">
        <v>239</v>
      </c>
      <c r="J8" s="150" t="s">
        <v>239</v>
      </c>
      <c r="K8" s="150" t="s">
        <v>284</v>
      </c>
      <c r="L8" s="190" t="s">
        <v>132</v>
      </c>
      <c r="M8" s="190" t="s">
        <v>132</v>
      </c>
      <c r="N8" s="190" t="s">
        <v>132</v>
      </c>
      <c r="O8" s="190" t="s">
        <v>132</v>
      </c>
    </row>
    <row r="9" spans="1:15">
      <c r="A9" s="150" t="s">
        <v>120</v>
      </c>
      <c r="B9" s="150">
        <v>5</v>
      </c>
      <c r="C9" s="150">
        <v>5</v>
      </c>
      <c r="D9" s="150" t="s">
        <v>231</v>
      </c>
      <c r="E9" s="150" t="s">
        <v>231</v>
      </c>
      <c r="F9" s="150">
        <v>63</v>
      </c>
      <c r="G9" s="150" t="s">
        <v>234</v>
      </c>
      <c r="H9" s="150" t="s">
        <v>136</v>
      </c>
      <c r="I9" s="150" t="s">
        <v>239</v>
      </c>
      <c r="J9" s="150" t="s">
        <v>239</v>
      </c>
      <c r="K9" s="150" t="s">
        <v>284</v>
      </c>
      <c r="L9" s="190" t="s">
        <v>132</v>
      </c>
      <c r="M9" s="190" t="s">
        <v>132</v>
      </c>
      <c r="N9" s="190" t="s">
        <v>132</v>
      </c>
      <c r="O9" s="19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90" t="s">
        <v>132</v>
      </c>
      <c r="M10" s="190" t="s">
        <v>132</v>
      </c>
      <c r="N10" s="190" t="s">
        <v>132</v>
      </c>
      <c r="O10" s="190" t="s">
        <v>132</v>
      </c>
    </row>
    <row r="11" spans="1:15">
      <c r="A11" s="150" t="s">
        <v>130</v>
      </c>
      <c r="B11" s="150">
        <v>6</v>
      </c>
      <c r="C11" s="150">
        <v>6</v>
      </c>
      <c r="D11" s="150" t="s">
        <v>231</v>
      </c>
      <c r="E11" s="150" t="s">
        <v>231</v>
      </c>
      <c r="F11" s="150">
        <v>63</v>
      </c>
      <c r="G11" s="150" t="s">
        <v>234</v>
      </c>
      <c r="H11" s="150" t="s">
        <v>136</v>
      </c>
      <c r="I11" s="150" t="s">
        <v>239</v>
      </c>
      <c r="J11" s="150" t="s">
        <v>239</v>
      </c>
      <c r="K11" s="150" t="s">
        <v>283</v>
      </c>
      <c r="L11" s="190" t="s">
        <v>132</v>
      </c>
      <c r="M11" s="190" t="s">
        <v>132</v>
      </c>
      <c r="N11" s="190" t="s">
        <v>132</v>
      </c>
      <c r="O11" s="190" t="s">
        <v>132</v>
      </c>
    </row>
    <row r="12" spans="1:15">
      <c r="A12" s="150" t="s">
        <v>130</v>
      </c>
      <c r="B12" s="150">
        <v>6</v>
      </c>
      <c r="C12" s="150">
        <v>6</v>
      </c>
      <c r="D12" s="150" t="s">
        <v>231</v>
      </c>
      <c r="E12" s="150" t="s">
        <v>231</v>
      </c>
      <c r="F12" s="150">
        <v>63</v>
      </c>
      <c r="G12" s="150" t="s">
        <v>234</v>
      </c>
      <c r="H12" s="150" t="s">
        <v>136</v>
      </c>
      <c r="I12" s="150" t="s">
        <v>239</v>
      </c>
      <c r="J12" s="150" t="s">
        <v>239</v>
      </c>
      <c r="K12" s="150" t="s">
        <v>283</v>
      </c>
      <c r="L12" s="190" t="s">
        <v>132</v>
      </c>
      <c r="M12" s="190" t="s">
        <v>132</v>
      </c>
      <c r="N12" s="190" t="s">
        <v>132</v>
      </c>
      <c r="O12" s="190" t="s">
        <v>132</v>
      </c>
    </row>
    <row r="13" spans="1:15">
      <c r="A13" s="150" t="s">
        <v>130</v>
      </c>
      <c r="B13" s="150">
        <v>6</v>
      </c>
      <c r="C13" s="150">
        <v>6</v>
      </c>
      <c r="D13" s="150" t="s">
        <v>231</v>
      </c>
      <c r="E13" s="150" t="s">
        <v>231</v>
      </c>
      <c r="F13" s="150">
        <v>63</v>
      </c>
      <c r="G13" s="150" t="s">
        <v>234</v>
      </c>
      <c r="H13" s="150" t="s">
        <v>136</v>
      </c>
      <c r="I13" s="150" t="s">
        <v>239</v>
      </c>
      <c r="J13" s="150" t="s">
        <v>240</v>
      </c>
      <c r="K13" s="150" t="s">
        <v>284</v>
      </c>
      <c r="L13" s="190" t="s">
        <v>132</v>
      </c>
      <c r="M13" s="190" t="s">
        <v>132</v>
      </c>
      <c r="N13" s="190" t="s">
        <v>132</v>
      </c>
      <c r="O13" s="190" t="s">
        <v>132</v>
      </c>
    </row>
    <row r="14" spans="1:15">
      <c r="A14" s="150" t="s">
        <v>131</v>
      </c>
      <c r="B14" s="150">
        <v>3</v>
      </c>
      <c r="C14" s="150">
        <v>3</v>
      </c>
      <c r="D14" s="150" t="s">
        <v>233</v>
      </c>
      <c r="E14" s="150" t="s">
        <v>228</v>
      </c>
      <c r="F14" s="150">
        <v>58</v>
      </c>
      <c r="G14" s="150" t="s">
        <v>234</v>
      </c>
      <c r="H14" s="150" t="s">
        <v>136</v>
      </c>
      <c r="I14" s="150" t="s">
        <v>132</v>
      </c>
      <c r="J14" s="150" t="s">
        <v>132</v>
      </c>
      <c r="K14" s="150" t="s">
        <v>284</v>
      </c>
      <c r="L14" s="190" t="s">
        <v>132</v>
      </c>
      <c r="M14" s="190" t="s">
        <v>132</v>
      </c>
      <c r="N14" s="190" t="s">
        <v>132</v>
      </c>
      <c r="O14" s="19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90" t="s">
        <v>132</v>
      </c>
      <c r="M15" s="190" t="s">
        <v>132</v>
      </c>
      <c r="N15" s="190" t="s">
        <v>132</v>
      </c>
      <c r="O15" s="19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90" t="s">
        <v>132</v>
      </c>
      <c r="M16" s="190" t="s">
        <v>132</v>
      </c>
      <c r="N16" s="190" t="s">
        <v>132</v>
      </c>
      <c r="O16" s="19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90" t="s">
        <v>132</v>
      </c>
      <c r="M17" s="190" t="s">
        <v>132</v>
      </c>
      <c r="N17" s="190" t="s">
        <v>132</v>
      </c>
      <c r="O17" s="19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90" t="s">
        <v>132</v>
      </c>
      <c r="M18" s="190" t="s">
        <v>132</v>
      </c>
      <c r="N18" s="190" t="s">
        <v>132</v>
      </c>
      <c r="O18" s="19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90" t="s">
        <v>132</v>
      </c>
      <c r="M19" s="190" t="s">
        <v>132</v>
      </c>
      <c r="N19" s="190" t="s">
        <v>132</v>
      </c>
      <c r="O19" s="19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90" t="s">
        <v>132</v>
      </c>
      <c r="M20" s="190" t="s">
        <v>132</v>
      </c>
      <c r="N20" s="190" t="s">
        <v>132</v>
      </c>
      <c r="O20" s="19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90" t="s">
        <v>132</v>
      </c>
      <c r="M21" s="190" t="s">
        <v>132</v>
      </c>
      <c r="N21" s="190" t="s">
        <v>132</v>
      </c>
      <c r="O21" s="190" t="s">
        <v>132</v>
      </c>
    </row>
    <row r="22" spans="1:15">
      <c r="A22" s="150" t="s">
        <v>133</v>
      </c>
      <c r="B22" s="150">
        <v>8</v>
      </c>
      <c r="C22" s="150">
        <v>8</v>
      </c>
      <c r="D22" s="150" t="s">
        <v>231</v>
      </c>
      <c r="E22" s="150" t="s">
        <v>231</v>
      </c>
      <c r="F22" s="150">
        <v>63</v>
      </c>
      <c r="G22" s="150" t="s">
        <v>234</v>
      </c>
      <c r="H22" s="150" t="s">
        <v>137</v>
      </c>
      <c r="I22" s="150" t="s">
        <v>239</v>
      </c>
      <c r="J22" s="151" t="s">
        <v>241</v>
      </c>
      <c r="K22" s="150" t="s">
        <v>284</v>
      </c>
      <c r="L22" s="190" t="s">
        <v>132</v>
      </c>
      <c r="M22" s="190" t="s">
        <v>132</v>
      </c>
      <c r="N22" s="190" t="s">
        <v>132</v>
      </c>
      <c r="O22" s="190" t="s">
        <v>132</v>
      </c>
    </row>
    <row r="23" spans="1:15">
      <c r="A23" s="150" t="s">
        <v>133</v>
      </c>
      <c r="B23" s="150">
        <v>8</v>
      </c>
      <c r="C23" s="150">
        <v>8</v>
      </c>
      <c r="D23" s="150" t="s">
        <v>231</v>
      </c>
      <c r="E23" s="150" t="s">
        <v>231</v>
      </c>
      <c r="F23" s="150">
        <v>63</v>
      </c>
      <c r="G23" s="150" t="s">
        <v>234</v>
      </c>
      <c r="H23" s="150" t="s">
        <v>137</v>
      </c>
      <c r="I23" s="150" t="s">
        <v>240</v>
      </c>
      <c r="J23" s="151" t="s">
        <v>241</v>
      </c>
      <c r="K23" s="150" t="s">
        <v>284</v>
      </c>
      <c r="L23" s="190" t="s">
        <v>132</v>
      </c>
      <c r="M23" s="190" t="s">
        <v>132</v>
      </c>
      <c r="N23" s="190" t="s">
        <v>132</v>
      </c>
      <c r="O23" s="190" t="s">
        <v>132</v>
      </c>
    </row>
    <row r="24" spans="1:15">
      <c r="A24" s="150" t="s">
        <v>133</v>
      </c>
      <c r="B24" s="150">
        <v>8</v>
      </c>
      <c r="C24" s="150">
        <v>8</v>
      </c>
      <c r="D24" s="150" t="s">
        <v>231</v>
      </c>
      <c r="E24" s="150" t="s">
        <v>231</v>
      </c>
      <c r="F24" s="150">
        <v>63</v>
      </c>
      <c r="G24" s="150" t="s">
        <v>234</v>
      </c>
      <c r="H24" s="150" t="s">
        <v>137</v>
      </c>
      <c r="I24" s="150" t="s">
        <v>239</v>
      </c>
      <c r="J24" s="151" t="s">
        <v>241</v>
      </c>
      <c r="K24" s="150" t="s">
        <v>284</v>
      </c>
      <c r="L24" s="190" t="s">
        <v>132</v>
      </c>
      <c r="M24" s="190" t="s">
        <v>132</v>
      </c>
      <c r="N24" s="190" t="s">
        <v>132</v>
      </c>
      <c r="O24" s="190" t="s">
        <v>132</v>
      </c>
    </row>
    <row r="25" spans="1:15">
      <c r="A25" s="150" t="s">
        <v>134</v>
      </c>
      <c r="B25" s="150">
        <v>4</v>
      </c>
      <c r="C25" s="150">
        <v>4</v>
      </c>
      <c r="D25" s="150" t="s">
        <v>231</v>
      </c>
      <c r="E25" s="150" t="s">
        <v>231</v>
      </c>
      <c r="F25" s="150">
        <v>72</v>
      </c>
      <c r="G25" s="150" t="s">
        <v>235</v>
      </c>
      <c r="H25" s="150" t="s">
        <v>136</v>
      </c>
      <c r="I25" s="150" t="s">
        <v>240</v>
      </c>
      <c r="J25" s="151" t="s">
        <v>241</v>
      </c>
      <c r="K25" s="150" t="s">
        <v>284</v>
      </c>
      <c r="L25" s="190" t="s">
        <v>132</v>
      </c>
      <c r="M25" s="190" t="s">
        <v>132</v>
      </c>
      <c r="N25" s="190" t="s">
        <v>132</v>
      </c>
      <c r="O25" s="19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91">
        <v>32.479599314999994</v>
      </c>
      <c r="M26" s="191">
        <v>35.583625253333338</v>
      </c>
      <c r="N26" s="190">
        <v>3.2479599314999996</v>
      </c>
      <c r="O26" s="190">
        <v>3.558362525333334</v>
      </c>
    </row>
    <row r="27" spans="1:15">
      <c r="A27" s="150" t="s">
        <v>135</v>
      </c>
      <c r="B27" s="150">
        <v>6</v>
      </c>
      <c r="C27" s="150">
        <v>6</v>
      </c>
      <c r="D27" s="150" t="s">
        <v>231</v>
      </c>
      <c r="E27" s="150" t="s">
        <v>231</v>
      </c>
      <c r="F27" s="150">
        <v>79</v>
      </c>
      <c r="G27" s="150" t="s">
        <v>235</v>
      </c>
      <c r="H27" s="150" t="s">
        <v>136</v>
      </c>
      <c r="I27" s="150" t="s">
        <v>239</v>
      </c>
      <c r="J27" s="150" t="s">
        <v>240</v>
      </c>
      <c r="K27" s="150" t="s">
        <v>284</v>
      </c>
      <c r="L27" s="191">
        <v>37.576496655</v>
      </c>
      <c r="M27" s="191">
        <v>34.686998733333333</v>
      </c>
      <c r="N27" s="190">
        <v>3.7576496654999998</v>
      </c>
      <c r="O27" s="190">
        <v>3.4686998733333332</v>
      </c>
    </row>
    <row r="28" spans="1:15">
      <c r="A28" s="150" t="s">
        <v>138</v>
      </c>
      <c r="B28" s="150">
        <v>4</v>
      </c>
      <c r="C28" s="150">
        <v>4</v>
      </c>
      <c r="D28" s="150" t="s">
        <v>231</v>
      </c>
      <c r="E28" s="150" t="s">
        <v>231</v>
      </c>
      <c r="F28" s="150">
        <v>63</v>
      </c>
      <c r="G28" s="150" t="s">
        <v>235</v>
      </c>
      <c r="H28" s="150" t="s">
        <v>137</v>
      </c>
      <c r="I28" s="150" t="s">
        <v>132</v>
      </c>
      <c r="J28" s="150" t="s">
        <v>239</v>
      </c>
      <c r="K28" s="150" t="s">
        <v>285</v>
      </c>
      <c r="L28" s="189">
        <v>78.977659390043613</v>
      </c>
      <c r="M28" s="189">
        <v>104.50599191105013</v>
      </c>
      <c r="N28" s="189">
        <v>7.8834291102069249</v>
      </c>
      <c r="O28" s="189">
        <v>26.850360038226828</v>
      </c>
    </row>
    <row r="29" spans="1:15">
      <c r="A29" s="150" t="s">
        <v>138</v>
      </c>
      <c r="B29" s="150">
        <v>4</v>
      </c>
      <c r="C29" s="150">
        <v>4</v>
      </c>
      <c r="D29" s="150" t="s">
        <v>231</v>
      </c>
      <c r="E29" s="150" t="s">
        <v>231</v>
      </c>
      <c r="F29" s="150">
        <v>63</v>
      </c>
      <c r="G29" s="150" t="s">
        <v>235</v>
      </c>
      <c r="H29" s="150" t="s">
        <v>137</v>
      </c>
      <c r="I29" s="150" t="s">
        <v>132</v>
      </c>
      <c r="J29" s="150" t="s">
        <v>239</v>
      </c>
      <c r="K29" s="150" t="s">
        <v>285</v>
      </c>
      <c r="L29" s="189">
        <v>83.381321980431736</v>
      </c>
      <c r="M29" s="189">
        <v>99.13830079380736</v>
      </c>
      <c r="N29" s="189">
        <v>9.9866008127432195</v>
      </c>
      <c r="O29" s="189">
        <v>9.273747029310293</v>
      </c>
    </row>
    <row r="30" spans="1:15">
      <c r="A30" s="150" t="s">
        <v>139</v>
      </c>
      <c r="B30" s="150">
        <v>3</v>
      </c>
      <c r="C30" s="150">
        <v>3</v>
      </c>
      <c r="D30" s="150" t="s">
        <v>233</v>
      </c>
      <c r="E30" s="150" t="s">
        <v>228</v>
      </c>
      <c r="F30" s="150">
        <v>42</v>
      </c>
      <c r="G30" s="150" t="s">
        <v>234</v>
      </c>
      <c r="H30" s="150" t="s">
        <v>136</v>
      </c>
      <c r="I30" s="150" t="s">
        <v>132</v>
      </c>
      <c r="J30" s="150" t="s">
        <v>132</v>
      </c>
      <c r="K30" s="150" t="s">
        <v>283</v>
      </c>
      <c r="L30" s="190" t="s">
        <v>132</v>
      </c>
      <c r="M30" s="190" t="s">
        <v>132</v>
      </c>
      <c r="N30" s="190" t="s">
        <v>132</v>
      </c>
      <c r="O30" s="19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90" t="s">
        <v>132</v>
      </c>
      <c r="M31" s="190" t="s">
        <v>132</v>
      </c>
      <c r="N31" s="190" t="s">
        <v>132</v>
      </c>
      <c r="O31" s="19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90" t="s">
        <v>132</v>
      </c>
      <c r="M32" s="190" t="s">
        <v>132</v>
      </c>
      <c r="N32" s="190" t="s">
        <v>132</v>
      </c>
      <c r="O32" s="19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90" t="s">
        <v>132</v>
      </c>
      <c r="M33" s="190" t="s">
        <v>132</v>
      </c>
      <c r="N33" s="190" t="s">
        <v>132</v>
      </c>
      <c r="O33" s="19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90" t="s">
        <v>132</v>
      </c>
      <c r="M34" s="190" t="s">
        <v>132</v>
      </c>
      <c r="N34" s="190" t="s">
        <v>132</v>
      </c>
      <c r="O34" s="19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90" t="s">
        <v>132</v>
      </c>
      <c r="M35" s="190" t="s">
        <v>132</v>
      </c>
      <c r="N35" s="190" t="s">
        <v>132</v>
      </c>
      <c r="O35" s="19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90" t="s">
        <v>132</v>
      </c>
      <c r="M36" s="190" t="s">
        <v>132</v>
      </c>
      <c r="N36" s="190" t="s">
        <v>132</v>
      </c>
      <c r="O36" s="19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90" t="s">
        <v>132</v>
      </c>
      <c r="M37" s="190" t="s">
        <v>132</v>
      </c>
      <c r="N37" s="190" t="s">
        <v>132</v>
      </c>
      <c r="O37" s="19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90" t="s">
        <v>132</v>
      </c>
      <c r="M38" s="190" t="s">
        <v>132</v>
      </c>
      <c r="N38" s="190" t="s">
        <v>132</v>
      </c>
      <c r="O38" s="19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90" t="s">
        <v>132</v>
      </c>
      <c r="M39" s="190" t="s">
        <v>132</v>
      </c>
      <c r="N39" s="190" t="s">
        <v>132</v>
      </c>
      <c r="O39" s="19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90" t="s">
        <v>132</v>
      </c>
      <c r="M40" s="190" t="s">
        <v>132</v>
      </c>
      <c r="N40" s="190" t="s">
        <v>132</v>
      </c>
      <c r="O40" s="19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90" t="s">
        <v>132</v>
      </c>
      <c r="M41" s="190" t="s">
        <v>132</v>
      </c>
      <c r="N41" s="190" t="s">
        <v>132</v>
      </c>
      <c r="O41" s="19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90" t="s">
        <v>132</v>
      </c>
      <c r="M42" s="190" t="s">
        <v>132</v>
      </c>
      <c r="N42" s="190" t="s">
        <v>132</v>
      </c>
      <c r="O42" s="19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90" t="s">
        <v>132</v>
      </c>
      <c r="M43" s="190" t="s">
        <v>132</v>
      </c>
      <c r="N43" s="190" t="s">
        <v>132</v>
      </c>
      <c r="O43" s="19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90" t="s">
        <v>132</v>
      </c>
      <c r="M44" s="190" t="s">
        <v>132</v>
      </c>
      <c r="N44" s="190" t="s">
        <v>132</v>
      </c>
      <c r="O44" s="19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90" t="s">
        <v>132</v>
      </c>
      <c r="M45" s="190" t="s">
        <v>132</v>
      </c>
      <c r="N45" s="190" t="s">
        <v>132</v>
      </c>
      <c r="O45" s="19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90" t="s">
        <v>132</v>
      </c>
      <c r="M46" s="190" t="s">
        <v>132</v>
      </c>
      <c r="N46" s="190" t="s">
        <v>132</v>
      </c>
      <c r="O46" s="19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90" t="s">
        <v>132</v>
      </c>
      <c r="M47" s="190" t="s">
        <v>132</v>
      </c>
      <c r="N47" s="190" t="s">
        <v>132</v>
      </c>
      <c r="O47" s="19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90" t="s">
        <v>132</v>
      </c>
      <c r="M48" s="190" t="s">
        <v>132</v>
      </c>
      <c r="N48" s="190" t="s">
        <v>132</v>
      </c>
      <c r="O48" s="19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90" t="s">
        <v>132</v>
      </c>
      <c r="M49" s="190" t="s">
        <v>132</v>
      </c>
      <c r="N49" s="190" t="s">
        <v>132</v>
      </c>
      <c r="O49" s="19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90" t="s">
        <v>132</v>
      </c>
      <c r="M50" s="190" t="s">
        <v>132</v>
      </c>
      <c r="N50" s="190" t="s">
        <v>132</v>
      </c>
      <c r="O50" s="19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90" t="s">
        <v>132</v>
      </c>
      <c r="M51" s="190" t="s">
        <v>132</v>
      </c>
      <c r="N51" s="190" t="s">
        <v>132</v>
      </c>
      <c r="O51" s="19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90" t="s">
        <v>132</v>
      </c>
      <c r="M52" s="190" t="s">
        <v>132</v>
      </c>
      <c r="N52" s="190" t="s">
        <v>132</v>
      </c>
      <c r="O52" s="19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90" t="s">
        <v>132</v>
      </c>
      <c r="M53" s="190" t="s">
        <v>132</v>
      </c>
      <c r="N53" s="190" t="s">
        <v>132</v>
      </c>
      <c r="O53" s="19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90" t="s">
        <v>132</v>
      </c>
      <c r="M54" s="190" t="s">
        <v>132</v>
      </c>
      <c r="N54" s="190" t="s">
        <v>132</v>
      </c>
      <c r="O54" s="19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90" t="s">
        <v>132</v>
      </c>
      <c r="M55" s="190" t="s">
        <v>132</v>
      </c>
      <c r="N55" s="190" t="s">
        <v>132</v>
      </c>
      <c r="O55" s="19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90" t="s">
        <v>132</v>
      </c>
      <c r="M56" s="190" t="s">
        <v>132</v>
      </c>
      <c r="N56" s="190" t="s">
        <v>132</v>
      </c>
      <c r="O56" s="19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90" t="s">
        <v>132</v>
      </c>
      <c r="M57" s="190" t="s">
        <v>132</v>
      </c>
      <c r="N57" s="190" t="s">
        <v>132</v>
      </c>
      <c r="O57" s="19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90" t="s">
        <v>132</v>
      </c>
      <c r="M58" s="190" t="s">
        <v>132</v>
      </c>
      <c r="N58" s="190" t="s">
        <v>132</v>
      </c>
      <c r="O58" s="19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90" t="s">
        <v>132</v>
      </c>
      <c r="M59" s="190" t="s">
        <v>132</v>
      </c>
      <c r="N59" s="190" t="s">
        <v>132</v>
      </c>
      <c r="O59" s="19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90" t="s">
        <v>132</v>
      </c>
      <c r="M60" s="190" t="s">
        <v>132</v>
      </c>
      <c r="N60" s="190" t="s">
        <v>132</v>
      </c>
      <c r="O60" s="19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90" t="s">
        <v>132</v>
      </c>
      <c r="M61" s="190" t="s">
        <v>132</v>
      </c>
      <c r="N61" s="190" t="s">
        <v>132</v>
      </c>
      <c r="O61" s="19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90" t="s">
        <v>132</v>
      </c>
      <c r="M62" s="190" t="s">
        <v>132</v>
      </c>
      <c r="N62" s="190" t="s">
        <v>132</v>
      </c>
      <c r="O62" s="19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90" t="s">
        <v>132</v>
      </c>
      <c r="M63" s="190" t="s">
        <v>132</v>
      </c>
      <c r="N63" s="190" t="s">
        <v>132</v>
      </c>
      <c r="O63" s="19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90" t="s">
        <v>132</v>
      </c>
      <c r="M64" s="190" t="s">
        <v>132</v>
      </c>
      <c r="N64" s="190" t="s">
        <v>132</v>
      </c>
      <c r="O64" s="19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90" t="s">
        <v>132</v>
      </c>
      <c r="M65" s="190" t="s">
        <v>132</v>
      </c>
      <c r="N65" s="190" t="s">
        <v>132</v>
      </c>
      <c r="O65" s="19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90" t="s">
        <v>132</v>
      </c>
      <c r="M66" s="190" t="s">
        <v>132</v>
      </c>
      <c r="N66" s="190" t="s">
        <v>132</v>
      </c>
      <c r="O66" s="19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90" t="s">
        <v>132</v>
      </c>
      <c r="M67" s="190" t="s">
        <v>132</v>
      </c>
      <c r="N67" s="190" t="s">
        <v>132</v>
      </c>
      <c r="O67" s="19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90" t="s">
        <v>132</v>
      </c>
      <c r="M68" s="190" t="s">
        <v>132</v>
      </c>
      <c r="N68" s="190" t="s">
        <v>132</v>
      </c>
      <c r="O68" s="19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89">
        <v>35.360000900300442</v>
      </c>
      <c r="M69" s="189">
        <v>37.7649309316174</v>
      </c>
      <c r="N69" s="189">
        <v>4.3760140934336382</v>
      </c>
      <c r="O69" s="189">
        <v>1.4017746499054593</v>
      </c>
    </row>
    <row r="70" spans="1:15">
      <c r="A70" s="150" t="s">
        <v>146</v>
      </c>
      <c r="B70" s="150">
        <v>5</v>
      </c>
      <c r="C70" s="150">
        <v>5</v>
      </c>
      <c r="D70" s="150" t="s">
        <v>231</v>
      </c>
      <c r="E70" s="150" t="s">
        <v>231</v>
      </c>
      <c r="F70" s="150">
        <v>63</v>
      </c>
      <c r="G70" s="150" t="s">
        <v>234</v>
      </c>
      <c r="H70" s="150" t="s">
        <v>136</v>
      </c>
      <c r="I70" s="151" t="s">
        <v>239</v>
      </c>
      <c r="J70" s="150" t="s">
        <v>240</v>
      </c>
      <c r="K70" s="150" t="s">
        <v>283</v>
      </c>
      <c r="L70" s="189">
        <v>38.061785548241353</v>
      </c>
      <c r="M70" s="189">
        <v>41.553488766546721</v>
      </c>
      <c r="N70" s="189">
        <v>2.0728550547527398</v>
      </c>
      <c r="O70" s="189">
        <v>4.2257927279542145</v>
      </c>
    </row>
    <row r="71" spans="1:15">
      <c r="A71" s="150" t="s">
        <v>146</v>
      </c>
      <c r="B71" s="150">
        <v>5</v>
      </c>
      <c r="C71" s="150">
        <v>5</v>
      </c>
      <c r="D71" s="150" t="s">
        <v>231</v>
      </c>
      <c r="E71" s="150" t="s">
        <v>231</v>
      </c>
      <c r="F71" s="150">
        <v>63</v>
      </c>
      <c r="G71" s="150" t="s">
        <v>234</v>
      </c>
      <c r="H71" s="150" t="s">
        <v>136</v>
      </c>
      <c r="I71" s="151" t="s">
        <v>239</v>
      </c>
      <c r="J71" s="150" t="s">
        <v>240</v>
      </c>
      <c r="K71" s="150" t="s">
        <v>283</v>
      </c>
      <c r="L71" s="189">
        <v>35.065391234615724</v>
      </c>
      <c r="M71" s="189">
        <v>39.697030383161021</v>
      </c>
      <c r="N71" s="189">
        <v>2.7280442477121927</v>
      </c>
      <c r="O71" s="189">
        <v>2.3783262882073277</v>
      </c>
    </row>
    <row r="72" spans="1:15">
      <c r="A72" s="150" t="s">
        <v>146</v>
      </c>
      <c r="B72" s="150">
        <v>5</v>
      </c>
      <c r="C72" s="150">
        <v>5</v>
      </c>
      <c r="D72" s="150" t="s">
        <v>231</v>
      </c>
      <c r="E72" s="150" t="s">
        <v>231</v>
      </c>
      <c r="F72" s="150">
        <v>63</v>
      </c>
      <c r="G72" s="150" t="s">
        <v>234</v>
      </c>
      <c r="H72" s="150" t="s">
        <v>136</v>
      </c>
      <c r="I72" s="151" t="s">
        <v>239</v>
      </c>
      <c r="J72" s="150" t="s">
        <v>240</v>
      </c>
      <c r="K72" s="150" t="s">
        <v>283</v>
      </c>
      <c r="L72" s="189">
        <v>37.646756227153688</v>
      </c>
      <c r="M72" s="189">
        <v>40.811020442648569</v>
      </c>
      <c r="N72" s="189">
        <v>1.8160991219703368</v>
      </c>
      <c r="O72" s="189">
        <v>2.1568528216455238</v>
      </c>
    </row>
    <row r="73" spans="1:15">
      <c r="A73" s="150" t="s">
        <v>146</v>
      </c>
      <c r="B73" s="150">
        <v>5</v>
      </c>
      <c r="C73" s="150">
        <v>5</v>
      </c>
      <c r="D73" s="150" t="s">
        <v>231</v>
      </c>
      <c r="E73" s="150" t="s">
        <v>231</v>
      </c>
      <c r="F73" s="150">
        <v>63</v>
      </c>
      <c r="G73" s="150" t="s">
        <v>234</v>
      </c>
      <c r="H73" s="150" t="s">
        <v>136</v>
      </c>
      <c r="I73" s="151" t="s">
        <v>239</v>
      </c>
      <c r="J73" s="150" t="s">
        <v>240</v>
      </c>
      <c r="K73" s="150" t="s">
        <v>283</v>
      </c>
      <c r="L73" s="189">
        <v>36.41741674182795</v>
      </c>
      <c r="M73" s="189">
        <v>38.007451919672071</v>
      </c>
      <c r="N73" s="189">
        <v>5.1321213778726182</v>
      </c>
      <c r="O73" s="189">
        <v>3.1272870329585873</v>
      </c>
    </row>
    <row r="74" spans="1:15">
      <c r="A74" s="150" t="s">
        <v>146</v>
      </c>
      <c r="B74" s="150">
        <v>5</v>
      </c>
      <c r="C74" s="150">
        <v>5</v>
      </c>
      <c r="D74" s="150" t="s">
        <v>231</v>
      </c>
      <c r="E74" s="150" t="s">
        <v>231</v>
      </c>
      <c r="F74" s="150">
        <v>63</v>
      </c>
      <c r="G74" s="150" t="s">
        <v>234</v>
      </c>
      <c r="H74" s="150" t="s">
        <v>136</v>
      </c>
      <c r="I74" s="151" t="s">
        <v>240</v>
      </c>
      <c r="J74" s="151" t="s">
        <v>241</v>
      </c>
      <c r="K74" s="150" t="s">
        <v>283</v>
      </c>
      <c r="L74" s="189">
        <v>52.530160624587573</v>
      </c>
      <c r="M74" s="189">
        <v>51.576769971817065</v>
      </c>
      <c r="N74" s="189">
        <v>17.754314193910322</v>
      </c>
      <c r="O74" s="189">
        <v>1.4737233552465856</v>
      </c>
    </row>
    <row r="75" spans="1:15">
      <c r="A75" s="150" t="s">
        <v>146</v>
      </c>
      <c r="B75" s="150">
        <v>5</v>
      </c>
      <c r="C75" s="150">
        <v>5</v>
      </c>
      <c r="D75" s="150" t="s">
        <v>231</v>
      </c>
      <c r="E75" s="150" t="s">
        <v>231</v>
      </c>
      <c r="F75" s="150">
        <v>63</v>
      </c>
      <c r="G75" s="150" t="s">
        <v>234</v>
      </c>
      <c r="H75" s="150" t="s">
        <v>136</v>
      </c>
      <c r="I75" s="151" t="s">
        <v>239</v>
      </c>
      <c r="J75" s="151" t="s">
        <v>241</v>
      </c>
      <c r="K75" s="150" t="s">
        <v>283</v>
      </c>
      <c r="L75" s="189">
        <v>50.677394288445342</v>
      </c>
      <c r="M75" s="189">
        <v>52.072038627462561</v>
      </c>
      <c r="N75" s="189">
        <v>4.142219746176262</v>
      </c>
      <c r="O75" s="189">
        <v>5.7219668175826781</v>
      </c>
    </row>
    <row r="76" spans="1:15">
      <c r="A76" s="150" t="s">
        <v>146</v>
      </c>
      <c r="B76" s="150">
        <v>5</v>
      </c>
      <c r="C76" s="150">
        <v>5</v>
      </c>
      <c r="D76" s="150" t="s">
        <v>231</v>
      </c>
      <c r="E76" s="150" t="s">
        <v>231</v>
      </c>
      <c r="F76" s="150">
        <v>63</v>
      </c>
      <c r="G76" s="150" t="s">
        <v>234</v>
      </c>
      <c r="H76" s="150" t="s">
        <v>136</v>
      </c>
      <c r="I76" s="151" t="s">
        <v>239</v>
      </c>
      <c r="J76" s="151" t="s">
        <v>241</v>
      </c>
      <c r="K76" s="150" t="s">
        <v>283</v>
      </c>
      <c r="L76" s="189">
        <v>45.522619996441854</v>
      </c>
      <c r="M76" s="189">
        <v>46.661149438336544</v>
      </c>
      <c r="N76" s="189">
        <v>2.5725276165923057</v>
      </c>
      <c r="O76" s="189">
        <v>2.5572352768373428</v>
      </c>
    </row>
    <row r="77" spans="1:15">
      <c r="A77" s="150" t="s">
        <v>146</v>
      </c>
      <c r="B77" s="150">
        <v>5</v>
      </c>
      <c r="C77" s="150">
        <v>5</v>
      </c>
      <c r="D77" s="150" t="s">
        <v>231</v>
      </c>
      <c r="E77" s="150" t="s">
        <v>231</v>
      </c>
      <c r="F77" s="150">
        <v>63</v>
      </c>
      <c r="G77" s="150" t="s">
        <v>234</v>
      </c>
      <c r="H77" s="150" t="s">
        <v>136</v>
      </c>
      <c r="I77" s="151" t="s">
        <v>239</v>
      </c>
      <c r="J77" s="151" t="s">
        <v>241</v>
      </c>
      <c r="K77" s="150" t="s">
        <v>283</v>
      </c>
      <c r="L77" s="189">
        <v>41.730884759984647</v>
      </c>
      <c r="M77" s="189">
        <v>44.542915591876337</v>
      </c>
      <c r="N77" s="189">
        <v>1.8499517513538937</v>
      </c>
      <c r="O77" s="189">
        <v>5.6074388227020995</v>
      </c>
    </row>
    <row r="78" spans="1:15">
      <c r="A78" s="150" t="s">
        <v>146</v>
      </c>
      <c r="B78" s="150">
        <v>5</v>
      </c>
      <c r="C78" s="150">
        <v>5</v>
      </c>
      <c r="D78" s="150" t="s">
        <v>231</v>
      </c>
      <c r="E78" s="150" t="s">
        <v>231</v>
      </c>
      <c r="F78" s="150">
        <v>63</v>
      </c>
      <c r="G78" s="150" t="s">
        <v>234</v>
      </c>
      <c r="H78" s="150" t="s">
        <v>136</v>
      </c>
      <c r="I78" s="151" t="s">
        <v>239</v>
      </c>
      <c r="J78" s="151" t="s">
        <v>241</v>
      </c>
      <c r="K78" s="150" t="s">
        <v>283</v>
      </c>
      <c r="L78" s="189">
        <v>43.350469796064608</v>
      </c>
      <c r="M78" s="189">
        <v>45.792104905700739</v>
      </c>
      <c r="N78" s="189">
        <v>3.9136416660574316</v>
      </c>
      <c r="O78" s="189">
        <v>2.6924364866173032</v>
      </c>
    </row>
    <row r="79" spans="1:15">
      <c r="A79" s="150" t="s">
        <v>147</v>
      </c>
      <c r="B79" s="150">
        <v>5</v>
      </c>
      <c r="C79" s="150">
        <v>5</v>
      </c>
      <c r="D79" s="150" t="s">
        <v>231</v>
      </c>
      <c r="E79" s="150" t="s">
        <v>231</v>
      </c>
      <c r="F79" s="150">
        <v>63</v>
      </c>
      <c r="G79" s="150" t="s">
        <v>234</v>
      </c>
      <c r="H79" s="150" t="s">
        <v>136</v>
      </c>
      <c r="I79" s="151" t="s">
        <v>240</v>
      </c>
      <c r="J79" s="150" t="s">
        <v>240</v>
      </c>
      <c r="K79" s="150" t="s">
        <v>283</v>
      </c>
      <c r="L79" s="190" t="s">
        <v>132</v>
      </c>
      <c r="M79" s="190" t="s">
        <v>132</v>
      </c>
      <c r="N79" s="190" t="s">
        <v>132</v>
      </c>
      <c r="O79" s="190" t="s">
        <v>132</v>
      </c>
    </row>
    <row r="80" spans="1:15">
      <c r="A80" s="150" t="s">
        <v>147</v>
      </c>
      <c r="B80" s="150">
        <v>5</v>
      </c>
      <c r="C80" s="150">
        <v>5</v>
      </c>
      <c r="D80" s="150" t="s">
        <v>231</v>
      </c>
      <c r="E80" s="150" t="s">
        <v>231</v>
      </c>
      <c r="F80" s="150">
        <v>63</v>
      </c>
      <c r="G80" s="150" t="s">
        <v>234</v>
      </c>
      <c r="H80" s="150" t="s">
        <v>136</v>
      </c>
      <c r="I80" s="151" t="s">
        <v>240</v>
      </c>
      <c r="J80" s="151" t="s">
        <v>241</v>
      </c>
      <c r="K80" s="150" t="s">
        <v>283</v>
      </c>
      <c r="L80" s="190" t="s">
        <v>132</v>
      </c>
      <c r="M80" s="190" t="s">
        <v>132</v>
      </c>
      <c r="N80" s="190" t="s">
        <v>132</v>
      </c>
      <c r="O80" s="190" t="s">
        <v>132</v>
      </c>
    </row>
    <row r="81" spans="1:15">
      <c r="A81" s="150" t="s">
        <v>147</v>
      </c>
      <c r="B81" s="150">
        <v>5</v>
      </c>
      <c r="C81" s="150">
        <v>5</v>
      </c>
      <c r="D81" s="150" t="s">
        <v>231</v>
      </c>
      <c r="E81" s="150" t="s">
        <v>231</v>
      </c>
      <c r="F81" s="150">
        <v>63</v>
      </c>
      <c r="G81" s="150" t="s">
        <v>234</v>
      </c>
      <c r="H81" s="150" t="s">
        <v>136</v>
      </c>
      <c r="I81" s="151" t="s">
        <v>240</v>
      </c>
      <c r="J81" s="151" t="s">
        <v>241</v>
      </c>
      <c r="K81" s="150" t="s">
        <v>283</v>
      </c>
      <c r="L81" s="190" t="s">
        <v>132</v>
      </c>
      <c r="M81" s="190" t="s">
        <v>132</v>
      </c>
      <c r="N81" s="190" t="s">
        <v>132</v>
      </c>
      <c r="O81" s="190" t="s">
        <v>132</v>
      </c>
    </row>
    <row r="82" spans="1:15">
      <c r="A82" s="150" t="s">
        <v>147</v>
      </c>
      <c r="B82" s="150">
        <v>5</v>
      </c>
      <c r="C82" s="150">
        <v>5</v>
      </c>
      <c r="D82" s="150" t="s">
        <v>231</v>
      </c>
      <c r="E82" s="150" t="s">
        <v>231</v>
      </c>
      <c r="F82" s="150">
        <v>63</v>
      </c>
      <c r="G82" s="150" t="s">
        <v>234</v>
      </c>
      <c r="H82" s="150" t="s">
        <v>136</v>
      </c>
      <c r="I82" s="151" t="s">
        <v>240</v>
      </c>
      <c r="J82" s="151" t="s">
        <v>241</v>
      </c>
      <c r="K82" s="150" t="s">
        <v>283</v>
      </c>
      <c r="L82" s="190" t="s">
        <v>132</v>
      </c>
      <c r="M82" s="190" t="s">
        <v>132</v>
      </c>
      <c r="N82" s="190" t="s">
        <v>132</v>
      </c>
      <c r="O82" s="190" t="s">
        <v>132</v>
      </c>
    </row>
    <row r="83" spans="1:15">
      <c r="A83" s="150" t="s">
        <v>147</v>
      </c>
      <c r="B83" s="150">
        <v>5</v>
      </c>
      <c r="C83" s="150">
        <v>5</v>
      </c>
      <c r="D83" s="150" t="s">
        <v>231</v>
      </c>
      <c r="E83" s="150" t="s">
        <v>231</v>
      </c>
      <c r="F83" s="150">
        <v>63</v>
      </c>
      <c r="G83" s="150" t="s">
        <v>234</v>
      </c>
      <c r="H83" s="150" t="s">
        <v>136</v>
      </c>
      <c r="I83" s="151" t="s">
        <v>240</v>
      </c>
      <c r="J83" s="151" t="s">
        <v>241</v>
      </c>
      <c r="K83" s="150" t="s">
        <v>283</v>
      </c>
      <c r="L83" s="190" t="s">
        <v>132</v>
      </c>
      <c r="M83" s="190" t="s">
        <v>132</v>
      </c>
      <c r="N83" s="190" t="s">
        <v>132</v>
      </c>
      <c r="O83" s="190" t="s">
        <v>132</v>
      </c>
    </row>
    <row r="84" spans="1:15">
      <c r="A84" s="150" t="s">
        <v>147</v>
      </c>
      <c r="B84" s="150">
        <v>5</v>
      </c>
      <c r="C84" s="150">
        <v>5</v>
      </c>
      <c r="D84" s="150" t="s">
        <v>231</v>
      </c>
      <c r="E84" s="150" t="s">
        <v>231</v>
      </c>
      <c r="F84" s="150">
        <v>63</v>
      </c>
      <c r="G84" s="150" t="s">
        <v>234</v>
      </c>
      <c r="H84" s="150" t="s">
        <v>136</v>
      </c>
      <c r="I84" s="151" t="s">
        <v>239</v>
      </c>
      <c r="J84" s="150" t="s">
        <v>240</v>
      </c>
      <c r="K84" s="150" t="s">
        <v>283</v>
      </c>
      <c r="L84" s="190" t="s">
        <v>132</v>
      </c>
      <c r="M84" s="190" t="s">
        <v>132</v>
      </c>
      <c r="N84" s="190" t="s">
        <v>132</v>
      </c>
      <c r="O84" s="190" t="s">
        <v>132</v>
      </c>
    </row>
    <row r="85" spans="1:15">
      <c r="A85" s="150" t="s">
        <v>147</v>
      </c>
      <c r="B85" s="150">
        <v>5</v>
      </c>
      <c r="C85" s="150">
        <v>5</v>
      </c>
      <c r="D85" s="150" t="s">
        <v>231</v>
      </c>
      <c r="E85" s="150" t="s">
        <v>231</v>
      </c>
      <c r="F85" s="150">
        <v>63</v>
      </c>
      <c r="G85" s="150" t="s">
        <v>234</v>
      </c>
      <c r="H85" s="150" t="s">
        <v>136</v>
      </c>
      <c r="I85" s="151" t="s">
        <v>239</v>
      </c>
      <c r="J85" s="151" t="s">
        <v>241</v>
      </c>
      <c r="K85" s="150" t="s">
        <v>283</v>
      </c>
      <c r="L85" s="190" t="s">
        <v>132</v>
      </c>
      <c r="M85" s="190" t="s">
        <v>132</v>
      </c>
      <c r="N85" s="190" t="s">
        <v>132</v>
      </c>
      <c r="O85" s="190" t="s">
        <v>132</v>
      </c>
    </row>
    <row r="86" spans="1:15">
      <c r="A86" s="150" t="s">
        <v>147</v>
      </c>
      <c r="B86" s="150">
        <v>5</v>
      </c>
      <c r="C86" s="150">
        <v>5</v>
      </c>
      <c r="D86" s="150" t="s">
        <v>231</v>
      </c>
      <c r="E86" s="150" t="s">
        <v>231</v>
      </c>
      <c r="F86" s="150">
        <v>63</v>
      </c>
      <c r="G86" s="150" t="s">
        <v>234</v>
      </c>
      <c r="H86" s="150" t="s">
        <v>136</v>
      </c>
      <c r="I86" s="151" t="s">
        <v>239</v>
      </c>
      <c r="J86" s="151" t="s">
        <v>241</v>
      </c>
      <c r="K86" s="150" t="s">
        <v>283</v>
      </c>
      <c r="L86" s="190" t="s">
        <v>132</v>
      </c>
      <c r="M86" s="190" t="s">
        <v>132</v>
      </c>
      <c r="N86" s="190" t="s">
        <v>132</v>
      </c>
      <c r="O86" s="190" t="s">
        <v>132</v>
      </c>
    </row>
    <row r="87" spans="1:15">
      <c r="A87" s="150" t="s">
        <v>147</v>
      </c>
      <c r="B87" s="150">
        <v>5</v>
      </c>
      <c r="C87" s="150">
        <v>5</v>
      </c>
      <c r="D87" s="150" t="s">
        <v>231</v>
      </c>
      <c r="E87" s="150" t="s">
        <v>231</v>
      </c>
      <c r="F87" s="150">
        <v>63</v>
      </c>
      <c r="G87" s="150" t="s">
        <v>234</v>
      </c>
      <c r="H87" s="150" t="s">
        <v>136</v>
      </c>
      <c r="I87" s="151" t="s">
        <v>239</v>
      </c>
      <c r="J87" s="151" t="s">
        <v>241</v>
      </c>
      <c r="K87" s="150" t="s">
        <v>283</v>
      </c>
      <c r="L87" s="190" t="s">
        <v>132</v>
      </c>
      <c r="M87" s="190" t="s">
        <v>132</v>
      </c>
      <c r="N87" s="190" t="s">
        <v>132</v>
      </c>
      <c r="O87" s="190" t="s">
        <v>132</v>
      </c>
    </row>
    <row r="88" spans="1:15">
      <c r="A88" s="150" t="s">
        <v>147</v>
      </c>
      <c r="B88" s="150">
        <v>5</v>
      </c>
      <c r="C88" s="150">
        <v>5</v>
      </c>
      <c r="D88" s="150" t="s">
        <v>231</v>
      </c>
      <c r="E88" s="150" t="s">
        <v>231</v>
      </c>
      <c r="F88" s="150">
        <v>63</v>
      </c>
      <c r="G88" s="150" t="s">
        <v>234</v>
      </c>
      <c r="H88" s="150" t="s">
        <v>136</v>
      </c>
      <c r="I88" s="151" t="s">
        <v>239</v>
      </c>
      <c r="J88" s="151" t="s">
        <v>241</v>
      </c>
      <c r="K88" s="150" t="s">
        <v>283</v>
      </c>
      <c r="L88" s="190" t="s">
        <v>132</v>
      </c>
      <c r="M88" s="190" t="s">
        <v>132</v>
      </c>
      <c r="N88" s="190" t="s">
        <v>132</v>
      </c>
      <c r="O88" s="190" t="s">
        <v>132</v>
      </c>
    </row>
    <row r="89" spans="1:15">
      <c r="A89" s="150" t="s">
        <v>148</v>
      </c>
      <c r="B89" s="150">
        <v>5</v>
      </c>
      <c r="C89" s="150">
        <v>5</v>
      </c>
      <c r="D89" s="150" t="s">
        <v>231</v>
      </c>
      <c r="E89" s="150" t="s">
        <v>231</v>
      </c>
      <c r="F89" s="150">
        <v>56</v>
      </c>
      <c r="G89" s="150" t="s">
        <v>234</v>
      </c>
      <c r="H89" s="150" t="s">
        <v>136</v>
      </c>
      <c r="I89" s="151" t="s">
        <v>239</v>
      </c>
      <c r="J89" s="151" t="s">
        <v>241</v>
      </c>
      <c r="K89" s="150" t="s">
        <v>283</v>
      </c>
      <c r="L89" s="189">
        <v>50.932555058551465</v>
      </c>
      <c r="M89" s="189">
        <v>48.925125718295355</v>
      </c>
      <c r="N89" s="189">
        <v>2.0768773421344191</v>
      </c>
      <c r="O89" s="189">
        <v>0.89216414677266853</v>
      </c>
    </row>
    <row r="90" spans="1:15">
      <c r="A90" s="150" t="s">
        <v>148</v>
      </c>
      <c r="B90" s="150">
        <v>5</v>
      </c>
      <c r="C90" s="150">
        <v>5</v>
      </c>
      <c r="D90" s="150" t="s">
        <v>231</v>
      </c>
      <c r="E90" s="150" t="s">
        <v>231</v>
      </c>
      <c r="F90" s="150">
        <v>56</v>
      </c>
      <c r="G90" s="150" t="s">
        <v>234</v>
      </c>
      <c r="H90" s="150" t="s">
        <v>136</v>
      </c>
      <c r="I90" s="151" t="s">
        <v>239</v>
      </c>
      <c r="J90" s="151" t="s">
        <v>241</v>
      </c>
      <c r="K90" s="150" t="s">
        <v>283</v>
      </c>
      <c r="L90" s="189">
        <v>49.43641957986447</v>
      </c>
      <c r="M90" s="189">
        <v>50.683836525732886</v>
      </c>
      <c r="N90" s="189">
        <v>1.8994825858992186</v>
      </c>
      <c r="O90" s="189">
        <v>0.55528525295007503</v>
      </c>
    </row>
    <row r="91" spans="1:15">
      <c r="A91" s="150" t="s">
        <v>148</v>
      </c>
      <c r="B91" s="150">
        <v>5</v>
      </c>
      <c r="C91" s="150">
        <v>5</v>
      </c>
      <c r="D91" s="150" t="s">
        <v>231</v>
      </c>
      <c r="E91" s="150" t="s">
        <v>231</v>
      </c>
      <c r="F91" s="150">
        <v>56</v>
      </c>
      <c r="G91" s="150" t="s">
        <v>234</v>
      </c>
      <c r="H91" s="150" t="s">
        <v>136</v>
      </c>
      <c r="I91" s="151" t="s">
        <v>239</v>
      </c>
      <c r="J91" s="151" t="s">
        <v>241</v>
      </c>
      <c r="K91" s="150" t="s">
        <v>283</v>
      </c>
      <c r="L91" s="189">
        <v>51.300911514553377</v>
      </c>
      <c r="M91" s="189">
        <v>49.284670784199733</v>
      </c>
      <c r="N91" s="189">
        <v>1.3962022707967916</v>
      </c>
      <c r="O91" s="189">
        <v>1.9811802634115114</v>
      </c>
    </row>
    <row r="92" spans="1:15">
      <c r="A92" s="150" t="s">
        <v>148</v>
      </c>
      <c r="B92" s="150">
        <v>5</v>
      </c>
      <c r="C92" s="150">
        <v>5</v>
      </c>
      <c r="D92" s="150" t="s">
        <v>231</v>
      </c>
      <c r="E92" s="150" t="s">
        <v>231</v>
      </c>
      <c r="F92" s="150">
        <v>56</v>
      </c>
      <c r="G92" s="150" t="s">
        <v>234</v>
      </c>
      <c r="H92" s="150" t="s">
        <v>136</v>
      </c>
      <c r="I92" s="151" t="s">
        <v>239</v>
      </c>
      <c r="J92" s="151" t="s">
        <v>241</v>
      </c>
      <c r="K92" s="150" t="s">
        <v>283</v>
      </c>
      <c r="L92" s="189">
        <v>49.295270658824407</v>
      </c>
      <c r="M92" s="189">
        <v>46.922581319642283</v>
      </c>
      <c r="N92" s="189">
        <v>1.9194628804628413</v>
      </c>
      <c r="O92" s="189">
        <v>1.6367590484164167</v>
      </c>
    </row>
    <row r="93" spans="1:15">
      <c r="A93" s="150" t="s">
        <v>148</v>
      </c>
      <c r="B93" s="150">
        <v>5</v>
      </c>
      <c r="C93" s="150">
        <v>5</v>
      </c>
      <c r="D93" s="150" t="s">
        <v>231</v>
      </c>
      <c r="E93" s="150" t="s">
        <v>231</v>
      </c>
      <c r="F93" s="150">
        <v>56</v>
      </c>
      <c r="G93" s="150" t="s">
        <v>234</v>
      </c>
      <c r="H93" s="150" t="s">
        <v>136</v>
      </c>
      <c r="I93" s="151" t="s">
        <v>239</v>
      </c>
      <c r="J93" s="151" t="s">
        <v>241</v>
      </c>
      <c r="K93" s="150" t="s">
        <v>283</v>
      </c>
      <c r="L93" s="189">
        <v>48.078073730160689</v>
      </c>
      <c r="M93" s="189">
        <v>48.035696269430815</v>
      </c>
      <c r="N93" s="189">
        <v>2.2521899402055756</v>
      </c>
      <c r="O93" s="189">
        <v>2.058481821596243</v>
      </c>
    </row>
    <row r="94" spans="1:15">
      <c r="A94" s="150" t="s">
        <v>148</v>
      </c>
      <c r="B94" s="150">
        <v>5</v>
      </c>
      <c r="C94" s="150">
        <v>5</v>
      </c>
      <c r="D94" s="150" t="s">
        <v>231</v>
      </c>
      <c r="E94" s="150" t="s">
        <v>231</v>
      </c>
      <c r="F94" s="150">
        <v>56</v>
      </c>
      <c r="G94" s="150" t="s">
        <v>234</v>
      </c>
      <c r="H94" s="150" t="s">
        <v>136</v>
      </c>
      <c r="I94" s="151" t="s">
        <v>239</v>
      </c>
      <c r="J94" s="151" t="s">
        <v>241</v>
      </c>
      <c r="K94" s="150" t="s">
        <v>283</v>
      </c>
      <c r="L94" s="189">
        <v>49.834508927683281</v>
      </c>
      <c r="M94" s="189">
        <v>50.218407901129716</v>
      </c>
      <c r="N94" s="189">
        <v>2.578436472098379</v>
      </c>
      <c r="O94" s="189">
        <v>0.90974168618114593</v>
      </c>
    </row>
    <row r="95" spans="1:15">
      <c r="A95" s="150" t="s">
        <v>149</v>
      </c>
      <c r="B95" s="150">
        <v>6</v>
      </c>
      <c r="C95" s="150">
        <v>6</v>
      </c>
      <c r="D95" s="150" t="s">
        <v>231</v>
      </c>
      <c r="E95" s="150" t="s">
        <v>231</v>
      </c>
      <c r="F95" s="150">
        <v>36</v>
      </c>
      <c r="G95" s="150" t="s">
        <v>234</v>
      </c>
      <c r="H95" s="150" t="s">
        <v>137</v>
      </c>
      <c r="I95" s="150" t="s">
        <v>132</v>
      </c>
      <c r="J95" s="150" t="s">
        <v>132</v>
      </c>
      <c r="K95" s="150" t="s">
        <v>283</v>
      </c>
      <c r="L95" s="190" t="s">
        <v>132</v>
      </c>
      <c r="M95" s="190" t="s">
        <v>132</v>
      </c>
      <c r="N95" s="190" t="s">
        <v>132</v>
      </c>
      <c r="O95" s="19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90" t="s">
        <v>132</v>
      </c>
      <c r="M96" s="190" t="s">
        <v>132</v>
      </c>
      <c r="N96" s="190" t="s">
        <v>132</v>
      </c>
      <c r="O96" s="19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90" t="s">
        <v>132</v>
      </c>
      <c r="M97" s="190" t="s">
        <v>132</v>
      </c>
      <c r="N97" s="190" t="s">
        <v>132</v>
      </c>
      <c r="O97" s="19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90" t="s">
        <v>132</v>
      </c>
      <c r="M98" s="190" t="s">
        <v>132</v>
      </c>
      <c r="N98" s="190" t="s">
        <v>132</v>
      </c>
      <c r="O98" s="19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90" t="s">
        <v>132</v>
      </c>
      <c r="M99" s="190" t="s">
        <v>132</v>
      </c>
      <c r="N99" s="190" t="s">
        <v>132</v>
      </c>
      <c r="O99" s="19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90" t="s">
        <v>132</v>
      </c>
      <c r="M100" s="190" t="s">
        <v>132</v>
      </c>
      <c r="N100" s="190" t="s">
        <v>132</v>
      </c>
      <c r="O100" s="190" t="s">
        <v>132</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239"/>
  <sheetViews>
    <sheetView workbookViewId="0">
      <pane ySplit="2" topLeftCell="A136" activePane="bottomLeft" state="frozen"/>
      <selection pane="bottomLeft" activeCell="N139" sqref="N139:N143"/>
    </sheetView>
  </sheetViews>
  <sheetFormatPr baseColWidth="10" defaultRowHeight="16"/>
  <cols>
    <col min="1" max="1" width="15.6640625" style="138" customWidth="1"/>
    <col min="2" max="2" width="27.33203125" style="139" hidden="1" customWidth="1"/>
    <col min="3" max="3" width="5.83203125" style="139" bestFit="1" customWidth="1"/>
    <col min="4" max="4" width="5.1640625" style="139" customWidth="1"/>
    <col min="5" max="5" width="5.83203125" style="139" customWidth="1"/>
    <col min="6" max="6" width="22.83203125" style="139" customWidth="1"/>
    <col min="7" max="7" width="14.83203125" style="139" hidden="1" customWidth="1"/>
    <col min="8" max="8" width="10.83203125" style="139" hidden="1" customWidth="1"/>
    <col min="9" max="9" width="15.1640625" style="139" hidden="1" customWidth="1"/>
    <col min="10" max="10" width="12.6640625" style="140" hidden="1" customWidth="1"/>
    <col min="11" max="11" width="5.33203125" style="140" customWidth="1"/>
    <col min="12" max="12" width="7.1640625" style="140" hidden="1" customWidth="1"/>
    <col min="13" max="13" width="7.1640625" style="140" customWidth="1"/>
    <col min="14" max="14" width="5.5" style="140" customWidth="1"/>
    <col min="15" max="15" width="6.1640625" style="140" hidden="1" customWidth="1"/>
    <col min="16" max="16" width="7" style="140" hidden="1" customWidth="1"/>
    <col min="17" max="17" width="7" style="140" customWidth="1"/>
    <col min="18" max="18" width="8.5" style="140" customWidth="1"/>
    <col min="19" max="19" width="10.5" style="140" customWidth="1"/>
    <col min="20" max="20" width="10.83203125" style="139" customWidth="1"/>
    <col min="21" max="21" width="7.33203125" style="139" customWidth="1"/>
    <col min="22" max="22" width="6.5" style="139" customWidth="1"/>
    <col min="23" max="23" width="6" style="139" customWidth="1"/>
    <col min="24" max="25" width="7.6640625" style="139" customWidth="1"/>
    <col min="26" max="26" width="10.83203125" style="140" customWidth="1"/>
    <col min="27" max="27" width="7.1640625" style="140" customWidth="1"/>
    <col min="28" max="28" width="8.5" style="140" customWidth="1"/>
    <col min="29" max="29" width="7.5" style="140" customWidth="1"/>
    <col min="30" max="31" width="8.1640625" style="140" customWidth="1"/>
    <col min="32" max="32" width="6.6640625" style="140" customWidth="1"/>
    <col min="33" max="33" width="7.1640625" style="140" customWidth="1"/>
    <col min="34" max="34" width="6" style="140" customWidth="1"/>
    <col min="35" max="35" width="9.1640625" style="140" customWidth="1"/>
    <col min="36" max="36" width="16.33203125" style="140" hidden="1" customWidth="1"/>
    <col min="37" max="37" width="8" style="140" customWidth="1"/>
    <col min="38" max="38" width="9" style="140" customWidth="1"/>
    <col min="39" max="39" width="7.33203125" style="140" customWidth="1"/>
    <col min="40" max="40" width="7.5" style="140" customWidth="1"/>
    <col min="41" max="41" width="8.5" style="140" customWidth="1"/>
    <col min="42" max="42" width="7.1640625" style="140" customWidth="1"/>
    <col min="43" max="43" width="7.5" style="140" customWidth="1"/>
    <col min="44" max="44" width="8" style="140" customWidth="1"/>
    <col min="45" max="45" width="8.1640625" style="140" customWidth="1"/>
    <col min="46" max="46" width="7.5" style="140" customWidth="1"/>
    <col min="47" max="47" width="6.83203125" style="140" customWidth="1"/>
    <col min="48" max="48" width="8.5" style="140" customWidth="1"/>
    <col min="49" max="49" width="7.1640625" style="141" hidden="1" customWidth="1"/>
    <col min="50" max="50" width="7.1640625" style="140" hidden="1" customWidth="1"/>
    <col min="51" max="51" width="7.83203125" style="140" hidden="1" customWidth="1"/>
    <col min="52" max="52" width="7.1640625" style="140" hidden="1" customWidth="1"/>
    <col min="53" max="53" width="7.83203125" style="140" hidden="1" customWidth="1"/>
    <col min="54" max="56" width="7.1640625" style="140" hidden="1" customWidth="1"/>
    <col min="57" max="57" width="6.83203125" style="22" customWidth="1"/>
    <col min="58" max="58" width="8" style="15" hidden="1" customWidth="1"/>
    <col min="59" max="59" width="6" style="22" hidden="1" customWidth="1"/>
    <col min="60" max="60" width="6.1640625" style="22" hidden="1" customWidth="1"/>
    <col min="61" max="61" width="10.83203125" style="22" hidden="1" customWidth="1"/>
    <col min="62" max="62" width="10.83203125" style="140" hidden="1" customWidth="1"/>
    <col min="63" max="64" width="11.83203125" style="140" hidden="1" customWidth="1"/>
    <col min="65" max="65" width="10.83203125" style="140" hidden="1" customWidth="1"/>
    <col min="66" max="67" width="6.6640625" style="22" customWidth="1"/>
    <col min="68" max="68" width="7.5" style="22" customWidth="1"/>
    <col min="69" max="73" width="6.6640625" style="22" customWidth="1"/>
    <col min="74" max="74" width="7.1640625" style="22" customWidth="1"/>
    <col min="75" max="75" width="6.6640625" style="22" customWidth="1"/>
    <col min="76" max="16384" width="10.83203125" style="140"/>
  </cols>
  <sheetData>
    <row r="1" spans="1:75" s="4" customFormat="1" ht="15" customHeight="1">
      <c r="G1" s="228" t="s">
        <v>1</v>
      </c>
      <c r="H1" s="228" t="s">
        <v>2</v>
      </c>
      <c r="I1" s="228" t="s">
        <v>3</v>
      </c>
      <c r="J1" s="1" t="s">
        <v>4</v>
      </c>
      <c r="K1" s="225" t="s">
        <v>109</v>
      </c>
      <c r="L1" s="226"/>
      <c r="M1" s="226"/>
      <c r="N1" s="226"/>
      <c r="O1" s="226"/>
      <c r="P1" s="226"/>
      <c r="Q1" s="226"/>
      <c r="R1" s="227"/>
      <c r="S1" s="1"/>
      <c r="T1" s="230" t="s">
        <v>5</v>
      </c>
      <c r="U1" s="231"/>
      <c r="V1" s="231"/>
      <c r="W1" s="231"/>
      <c r="X1" s="231"/>
      <c r="Y1" s="232"/>
      <c r="Z1" s="233" t="s">
        <v>6</v>
      </c>
      <c r="AA1" s="233"/>
      <c r="AB1" s="233"/>
      <c r="AC1" s="233"/>
      <c r="AD1" s="233"/>
      <c r="AE1" s="234" t="s">
        <v>7</v>
      </c>
      <c r="AF1" s="225" t="s">
        <v>121</v>
      </c>
      <c r="AG1" s="226"/>
      <c r="AH1" s="227"/>
      <c r="AI1" s="224" t="s">
        <v>107</v>
      </c>
      <c r="AJ1" s="224"/>
      <c r="AK1" s="224"/>
      <c r="AL1" s="224"/>
      <c r="AM1" s="224"/>
      <c r="AN1" s="224"/>
      <c r="AO1" s="221" t="s">
        <v>108</v>
      </c>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3"/>
    </row>
    <row r="2" spans="1:75" s="4" customFormat="1" ht="45">
      <c r="A2" s="143" t="s">
        <v>0</v>
      </c>
      <c r="B2" s="144"/>
      <c r="C2" s="143" t="s">
        <v>173</v>
      </c>
      <c r="D2" s="143" t="s">
        <v>172</v>
      </c>
      <c r="E2" s="143" t="s">
        <v>171</v>
      </c>
      <c r="F2" s="143" t="s">
        <v>174</v>
      </c>
      <c r="G2" s="229"/>
      <c r="H2" s="229"/>
      <c r="I2" s="229"/>
      <c r="J2" s="3" t="s">
        <v>8</v>
      </c>
      <c r="K2" s="1" t="s">
        <v>9</v>
      </c>
      <c r="L2" s="3" t="s">
        <v>10</v>
      </c>
      <c r="M2" s="182" t="s">
        <v>282</v>
      </c>
      <c r="N2" s="3" t="s">
        <v>11</v>
      </c>
      <c r="O2" s="3" t="s">
        <v>12</v>
      </c>
      <c r="P2" s="3" t="s">
        <v>13</v>
      </c>
      <c r="Q2" s="3" t="s">
        <v>14</v>
      </c>
      <c r="R2" s="3" t="s">
        <v>110</v>
      </c>
      <c r="S2" s="3" t="s">
        <v>15</v>
      </c>
      <c r="T2" s="5" t="s">
        <v>16</v>
      </c>
      <c r="U2" s="6" t="s">
        <v>17</v>
      </c>
      <c r="V2" s="6" t="s">
        <v>18</v>
      </c>
      <c r="W2" s="7" t="s">
        <v>19</v>
      </c>
      <c r="X2" s="6" t="s">
        <v>18</v>
      </c>
      <c r="Y2" s="6" t="s">
        <v>14</v>
      </c>
      <c r="Z2" s="3" t="s">
        <v>16</v>
      </c>
      <c r="AA2" s="3" t="s">
        <v>17</v>
      </c>
      <c r="AB2" s="3" t="s">
        <v>18</v>
      </c>
      <c r="AC2" s="3" t="s">
        <v>20</v>
      </c>
      <c r="AD2" s="3" t="s">
        <v>18</v>
      </c>
      <c r="AE2" s="235"/>
      <c r="AF2" s="3" t="s">
        <v>175</v>
      </c>
      <c r="AG2" s="8" t="s">
        <v>176</v>
      </c>
      <c r="AH2" s="8" t="s">
        <v>111</v>
      </c>
      <c r="AI2" s="8" t="s">
        <v>177</v>
      </c>
      <c r="AJ2" s="8" t="s">
        <v>21</v>
      </c>
      <c r="AK2" s="3" t="s">
        <v>178</v>
      </c>
      <c r="AL2" s="8" t="s">
        <v>179</v>
      </c>
      <c r="AM2" s="3" t="s">
        <v>180</v>
      </c>
      <c r="AN2" s="3" t="s">
        <v>181</v>
      </c>
      <c r="AO2" s="3" t="s">
        <v>182</v>
      </c>
      <c r="AP2" s="3" t="s">
        <v>183</v>
      </c>
      <c r="AQ2" s="9" t="s">
        <v>184</v>
      </c>
      <c r="AR2" s="8" t="s">
        <v>185</v>
      </c>
      <c r="AS2" s="3" t="s">
        <v>186</v>
      </c>
      <c r="AT2" s="3" t="s">
        <v>187</v>
      </c>
      <c r="AU2" s="9" t="s">
        <v>188</v>
      </c>
      <c r="AV2" s="8" t="s">
        <v>189</v>
      </c>
      <c r="AW2" s="8" t="s">
        <v>22</v>
      </c>
      <c r="AX2" s="8" t="s">
        <v>23</v>
      </c>
      <c r="AY2" s="8" t="s">
        <v>24</v>
      </c>
      <c r="AZ2" s="8" t="s">
        <v>25</v>
      </c>
      <c r="BA2" s="8" t="s">
        <v>26</v>
      </c>
      <c r="BB2" s="8" t="s">
        <v>27</v>
      </c>
      <c r="BC2" s="8" t="s">
        <v>28</v>
      </c>
      <c r="BD2" s="8" t="s">
        <v>29</v>
      </c>
      <c r="BE2" s="10" t="s">
        <v>190</v>
      </c>
      <c r="BF2" s="1" t="s">
        <v>30</v>
      </c>
      <c r="BG2" s="11" t="s">
        <v>31</v>
      </c>
      <c r="BH2" s="11" t="s">
        <v>32</v>
      </c>
      <c r="BI2" s="2"/>
      <c r="BJ2" s="4" t="s">
        <v>30</v>
      </c>
      <c r="BK2" s="4" t="s">
        <v>31</v>
      </c>
      <c r="BL2" s="4" t="s">
        <v>32</v>
      </c>
      <c r="BM2" s="12" t="s">
        <v>33</v>
      </c>
      <c r="BN2" s="1" t="s">
        <v>191</v>
      </c>
      <c r="BO2" s="1" t="s">
        <v>192</v>
      </c>
      <c r="BP2" s="1" t="s">
        <v>193</v>
      </c>
      <c r="BQ2" s="1" t="s">
        <v>194</v>
      </c>
      <c r="BR2" s="1" t="s">
        <v>195</v>
      </c>
      <c r="BS2" s="1" t="s">
        <v>196</v>
      </c>
      <c r="BT2" s="1" t="s">
        <v>197</v>
      </c>
      <c r="BU2" s="1" t="s">
        <v>198</v>
      </c>
      <c r="BV2" s="1" t="s">
        <v>199</v>
      </c>
      <c r="BW2" s="1" t="s">
        <v>200</v>
      </c>
    </row>
    <row r="3" spans="1:75" s="15" customFormat="1">
      <c r="A3" s="13" t="s">
        <v>201</v>
      </c>
      <c r="B3" s="14" t="s">
        <v>34</v>
      </c>
      <c r="C3" s="15" t="s">
        <v>35</v>
      </c>
      <c r="D3" s="15" t="s">
        <v>36</v>
      </c>
      <c r="E3" s="15">
        <v>42</v>
      </c>
      <c r="F3" s="16" t="s">
        <v>37</v>
      </c>
      <c r="K3" s="17"/>
      <c r="T3" s="14"/>
      <c r="U3" s="14"/>
      <c r="V3" s="14"/>
      <c r="W3" s="14"/>
      <c r="X3" s="14"/>
      <c r="Y3" s="14"/>
      <c r="AF3" s="15">
        <v>42.1</v>
      </c>
      <c r="AG3" s="18">
        <f>1.732*9.03</f>
        <v>15.639959999999999</v>
      </c>
      <c r="AH3" s="15">
        <v>3</v>
      </c>
      <c r="AV3" s="19"/>
      <c r="AW3" s="20"/>
      <c r="AX3" s="19"/>
      <c r="AY3" s="19"/>
      <c r="AZ3" s="19"/>
      <c r="BA3" s="19"/>
      <c r="BB3" s="19"/>
      <c r="BC3" s="19"/>
      <c r="BD3" s="19"/>
      <c r="BE3" s="21"/>
      <c r="BI3" s="22"/>
      <c r="BJ3" s="23"/>
    </row>
    <row r="4" spans="1:75" s="15" customFormat="1">
      <c r="A4" s="13" t="s">
        <v>201</v>
      </c>
      <c r="B4" s="14" t="s">
        <v>34</v>
      </c>
      <c r="C4" s="15" t="s">
        <v>38</v>
      </c>
      <c r="D4" s="15" t="s">
        <v>36</v>
      </c>
      <c r="E4" s="15">
        <v>42</v>
      </c>
      <c r="F4" s="16" t="s">
        <v>37</v>
      </c>
      <c r="T4" s="14"/>
      <c r="U4" s="14"/>
      <c r="V4" s="14"/>
      <c r="W4" s="14"/>
      <c r="X4" s="14"/>
      <c r="Y4" s="14"/>
      <c r="AF4" s="15">
        <v>0</v>
      </c>
      <c r="AG4" s="18">
        <f>1.732*0</f>
        <v>0</v>
      </c>
      <c r="AH4" s="15">
        <v>3</v>
      </c>
      <c r="AJ4" s="24"/>
      <c r="AV4" s="19"/>
      <c r="AW4" s="20"/>
      <c r="AX4" s="19"/>
      <c r="AY4" s="19"/>
      <c r="AZ4" s="19"/>
      <c r="BA4" s="19"/>
      <c r="BB4" s="19"/>
      <c r="BC4" s="19"/>
      <c r="BD4" s="19"/>
      <c r="BE4" s="21"/>
      <c r="BI4" s="22"/>
      <c r="BJ4" s="23"/>
    </row>
    <row r="5" spans="1:75" s="15" customFormat="1">
      <c r="A5" s="13" t="s">
        <v>201</v>
      </c>
      <c r="B5" s="14" t="s">
        <v>34</v>
      </c>
      <c r="C5" s="15" t="s">
        <v>35</v>
      </c>
      <c r="D5" s="15" t="s">
        <v>36</v>
      </c>
      <c r="E5" s="15">
        <v>42</v>
      </c>
      <c r="F5" s="16" t="s">
        <v>39</v>
      </c>
      <c r="T5" s="14"/>
      <c r="U5" s="14"/>
      <c r="V5" s="14"/>
      <c r="W5" s="14"/>
      <c r="X5" s="14"/>
      <c r="Y5" s="14"/>
      <c r="AF5" s="15">
        <v>29.5</v>
      </c>
      <c r="AG5" s="18">
        <f>1.732*10.45</f>
        <v>18.099399999999999</v>
      </c>
      <c r="AH5" s="15">
        <v>3</v>
      </c>
      <c r="AJ5" s="24"/>
      <c r="AV5" s="19"/>
      <c r="AW5" s="20"/>
      <c r="AX5" s="19"/>
      <c r="AY5" s="19"/>
      <c r="AZ5" s="19"/>
      <c r="BA5" s="19"/>
      <c r="BB5" s="19"/>
      <c r="BC5" s="19"/>
      <c r="BD5" s="19"/>
      <c r="BE5" s="21"/>
      <c r="BI5" s="22"/>
      <c r="BJ5" s="23"/>
      <c r="BM5" s="15">
        <f>(AF5-AF6)/AF6*100</f>
        <v>217.2043010752688</v>
      </c>
    </row>
    <row r="6" spans="1:75" s="15" customFormat="1">
      <c r="A6" s="13" t="s">
        <v>201</v>
      </c>
      <c r="B6" s="14" t="s">
        <v>34</v>
      </c>
      <c r="C6" s="15" t="s">
        <v>38</v>
      </c>
      <c r="D6" s="15" t="s">
        <v>36</v>
      </c>
      <c r="E6" s="15">
        <v>42</v>
      </c>
      <c r="F6" s="16" t="s">
        <v>39</v>
      </c>
      <c r="T6" s="14"/>
      <c r="U6" s="14"/>
      <c r="V6" s="14"/>
      <c r="W6" s="14"/>
      <c r="X6" s="14"/>
      <c r="Y6" s="14"/>
      <c r="AF6" s="15">
        <v>9.3000000000000007</v>
      </c>
      <c r="AG6" s="18">
        <f>1.732*1.24</f>
        <v>2.1476799999999998</v>
      </c>
      <c r="AH6" s="15">
        <v>3</v>
      </c>
      <c r="AJ6" s="24"/>
      <c r="AV6" s="19"/>
      <c r="AW6" s="20"/>
      <c r="AX6" s="19"/>
      <c r="AY6" s="19"/>
      <c r="AZ6" s="19"/>
      <c r="BA6" s="19"/>
      <c r="BB6" s="19"/>
      <c r="BC6" s="19"/>
      <c r="BD6" s="19"/>
      <c r="BE6" s="21"/>
      <c r="BI6" s="22"/>
      <c r="BJ6" s="23"/>
    </row>
    <row r="7" spans="1:75" s="27" customFormat="1">
      <c r="A7" s="25" t="s">
        <v>202</v>
      </c>
      <c r="B7" s="26" t="s">
        <v>40</v>
      </c>
      <c r="C7" s="27" t="s">
        <v>38</v>
      </c>
      <c r="D7" s="27" t="s">
        <v>36</v>
      </c>
      <c r="E7" s="27">
        <v>63</v>
      </c>
      <c r="F7" s="28"/>
      <c r="J7" s="27" t="s">
        <v>41</v>
      </c>
      <c r="K7" s="27">
        <v>7.1</v>
      </c>
      <c r="M7" s="27" t="s">
        <v>284</v>
      </c>
      <c r="O7" s="27">
        <v>16</v>
      </c>
      <c r="P7" s="27" t="s">
        <v>42</v>
      </c>
      <c r="R7" s="27">
        <v>0.65</v>
      </c>
      <c r="S7" s="27">
        <v>0.65</v>
      </c>
      <c r="T7" s="26" t="s">
        <v>43</v>
      </c>
      <c r="U7" s="26">
        <v>25</v>
      </c>
      <c r="V7" s="26" t="s">
        <v>44</v>
      </c>
      <c r="W7" s="26"/>
      <c r="X7" s="26"/>
      <c r="Y7" s="26"/>
      <c r="Z7" s="27" t="s">
        <v>45</v>
      </c>
      <c r="AA7" s="27">
        <v>0</v>
      </c>
      <c r="AB7" s="27" t="s">
        <v>44</v>
      </c>
      <c r="AF7" s="29">
        <v>1.1715733122</v>
      </c>
      <c r="AG7" s="29">
        <f>2.236*0.180728091878171</f>
        <v>0.40410801343959035</v>
      </c>
      <c r="AH7" s="26">
        <v>5</v>
      </c>
      <c r="AI7" s="30">
        <f t="shared" ref="AI7:AI26" si="0">AK7+AM7</f>
        <v>2.99408155825</v>
      </c>
      <c r="AJ7" s="31">
        <f t="shared" ref="AJ7:AJ73" si="1">AI7/1000</f>
        <v>2.99408155825E-3</v>
      </c>
      <c r="AK7" s="32">
        <v>2.12974</v>
      </c>
      <c r="AL7" s="33">
        <f>2.236*0.131395972541019</f>
        <v>0.2938013946017185</v>
      </c>
      <c r="AM7" s="27">
        <v>0.86434155825000003</v>
      </c>
      <c r="AN7" s="27">
        <f>2.236*0.0709406687838995</f>
        <v>0.15862333540079929</v>
      </c>
      <c r="AO7" s="34">
        <v>1065.9197417944536</v>
      </c>
      <c r="AP7" s="34">
        <f>2.236*36.4320847784263</f>
        <v>81.462141564561222</v>
      </c>
      <c r="AQ7" s="34">
        <v>967.02531497553002</v>
      </c>
      <c r="AR7" s="34">
        <f>2.236*42.5184534967596</f>
        <v>95.071262018754467</v>
      </c>
      <c r="AS7" s="34">
        <v>38.054290263999995</v>
      </c>
      <c r="AT7" s="34">
        <f>2.236*1.24482997549416</f>
        <v>2.7834398252049422</v>
      </c>
      <c r="AU7" s="34">
        <v>53.425822064000002</v>
      </c>
      <c r="AV7" s="35">
        <f>2.236*3.19141870740626</f>
        <v>7.1360122297603974</v>
      </c>
      <c r="AW7" s="36">
        <v>3.1059720785024658</v>
      </c>
      <c r="AX7" s="37">
        <v>0.12722390244043633</v>
      </c>
      <c r="AY7" s="38">
        <v>2.2701319108893192</v>
      </c>
      <c r="AZ7" s="38">
        <v>0.83584016761314672</v>
      </c>
      <c r="BA7" s="38">
        <v>8.104574414685134E-2</v>
      </c>
      <c r="BB7" s="38">
        <v>4.6178158293584994E-2</v>
      </c>
      <c r="BC7" s="39">
        <v>0.36819013186141603</v>
      </c>
      <c r="BD7" s="38">
        <v>0.56977894125954587</v>
      </c>
      <c r="BE7" s="37">
        <f t="shared" ref="BE7:BE26" si="2">AM7/AK7</f>
        <v>0.40584369840919549</v>
      </c>
      <c r="BI7" s="22"/>
      <c r="BJ7" s="23"/>
    </row>
    <row r="8" spans="1:75" s="27" customFormat="1">
      <c r="A8" s="25" t="s">
        <v>202</v>
      </c>
      <c r="B8" s="26" t="s">
        <v>40</v>
      </c>
      <c r="C8" s="27" t="s">
        <v>35</v>
      </c>
      <c r="D8" s="27" t="s">
        <v>36</v>
      </c>
      <c r="E8" s="27">
        <v>63</v>
      </c>
      <c r="F8" s="28"/>
      <c r="J8" s="27" t="s">
        <v>41</v>
      </c>
      <c r="K8" s="27">
        <v>7.1</v>
      </c>
      <c r="M8" s="27" t="s">
        <v>284</v>
      </c>
      <c r="O8" s="27">
        <v>16</v>
      </c>
      <c r="P8" s="27" t="s">
        <v>42</v>
      </c>
      <c r="R8" s="27">
        <v>0.65</v>
      </c>
      <c r="S8" s="27">
        <v>0.65</v>
      </c>
      <c r="T8" s="26" t="s">
        <v>43</v>
      </c>
      <c r="U8" s="26">
        <v>25</v>
      </c>
      <c r="V8" s="26" t="s">
        <v>44</v>
      </c>
      <c r="W8" s="26"/>
      <c r="X8" s="26"/>
      <c r="Y8" s="26"/>
      <c r="Z8" s="27" t="s">
        <v>45</v>
      </c>
      <c r="AA8" s="27">
        <v>0</v>
      </c>
      <c r="AB8" s="27" t="s">
        <v>44</v>
      </c>
      <c r="AF8" s="29">
        <v>72.193632924000013</v>
      </c>
      <c r="AG8" s="29">
        <f>2.236*4.04641856353137</f>
        <v>9.0477919080561442</v>
      </c>
      <c r="AH8" s="26">
        <v>5</v>
      </c>
      <c r="AI8" s="30">
        <f t="shared" si="0"/>
        <v>2.6398743208000002</v>
      </c>
      <c r="AJ8" s="31">
        <f t="shared" si="1"/>
        <v>2.6398743208000002E-3</v>
      </c>
      <c r="AK8" s="32">
        <v>1.85714</v>
      </c>
      <c r="AL8" s="33">
        <f>2.236*0.103210467492402</f>
        <v>0.23077860531301089</v>
      </c>
      <c r="AM8" s="27">
        <v>0.78273432080000005</v>
      </c>
      <c r="AN8" s="27">
        <f>2.236*0.0425780434562719</f>
        <v>9.5204505168223971E-2</v>
      </c>
      <c r="AO8" s="34">
        <v>1210.8669139967374</v>
      </c>
      <c r="AP8" s="34">
        <f>2.236*39.7406308818209</f>
        <v>88.860050651751536</v>
      </c>
      <c r="AQ8" s="34">
        <v>1363.8141644371899</v>
      </c>
      <c r="AR8" s="34">
        <f>2.236*37.404832359755</f>
        <v>83.637205156412179</v>
      </c>
      <c r="AS8" s="34">
        <v>45.613149638000003</v>
      </c>
      <c r="AT8" s="34">
        <f>2.236*1.78400974087482</f>
        <v>3.9890457805960975</v>
      </c>
      <c r="AU8" s="34">
        <v>125.398835674</v>
      </c>
      <c r="AV8" s="35">
        <f>2.236*11.5150872507985</f>
        <v>25.747735092785447</v>
      </c>
      <c r="AW8" s="36">
        <v>3.3162535343580641</v>
      </c>
      <c r="AX8" s="37">
        <v>0.18286397718911451</v>
      </c>
      <c r="AY8" s="38">
        <v>2.2487493806599006</v>
      </c>
      <c r="AZ8" s="38">
        <v>1.0675041536981633</v>
      </c>
      <c r="BA8" s="38">
        <v>8.4710004718715329E-2</v>
      </c>
      <c r="BB8" s="38">
        <v>9.8153972470399198E-2</v>
      </c>
      <c r="BC8" s="39">
        <v>0.47471014906289905</v>
      </c>
      <c r="BD8" s="38">
        <v>1.1587057844740463</v>
      </c>
      <c r="BE8" s="37">
        <f t="shared" si="2"/>
        <v>0.42147297500457698</v>
      </c>
      <c r="BF8" s="40">
        <f>(AI8-AI7)/AI7</f>
        <v>-0.11830246790505905</v>
      </c>
      <c r="BG8" s="41">
        <f>(AW8-AW7)/AW7</f>
        <v>6.7702300774379415E-2</v>
      </c>
      <c r="BH8" s="41">
        <f>(AX8-AX7)/AX7</f>
        <v>0.43733978978303822</v>
      </c>
      <c r="BI8" s="22"/>
      <c r="BJ8" s="23">
        <f t="shared" ref="BJ8" si="3">BF8*100</f>
        <v>-11.830246790505905</v>
      </c>
      <c r="BK8" s="40">
        <f>BG8*100</f>
        <v>6.7702300774379411</v>
      </c>
      <c r="BL8" s="40">
        <f>BH8*100</f>
        <v>43.733978978303824</v>
      </c>
    </row>
    <row r="9" spans="1:75" s="27" customFormat="1">
      <c r="A9" s="25" t="s">
        <v>202</v>
      </c>
      <c r="B9" s="26" t="s">
        <v>40</v>
      </c>
      <c r="C9" s="27" t="s">
        <v>38</v>
      </c>
      <c r="D9" s="27" t="s">
        <v>36</v>
      </c>
      <c r="E9" s="27">
        <v>63</v>
      </c>
      <c r="F9" s="28"/>
      <c r="J9" s="27" t="s">
        <v>41</v>
      </c>
      <c r="K9" s="27">
        <v>7.1</v>
      </c>
      <c r="M9" s="27" t="s">
        <v>284</v>
      </c>
      <c r="O9" s="27">
        <v>16</v>
      </c>
      <c r="P9" s="27" t="s">
        <v>42</v>
      </c>
      <c r="S9" s="27">
        <v>0.65</v>
      </c>
      <c r="T9" s="26" t="s">
        <v>43</v>
      </c>
      <c r="U9" s="26">
        <v>25</v>
      </c>
      <c r="V9" s="26" t="s">
        <v>44</v>
      </c>
      <c r="W9" s="26"/>
      <c r="X9" s="26"/>
      <c r="Y9" s="26"/>
      <c r="Z9" s="27" t="s">
        <v>45</v>
      </c>
      <c r="AA9" s="27">
        <v>25</v>
      </c>
      <c r="AB9" s="27" t="s">
        <v>44</v>
      </c>
      <c r="AF9" s="29">
        <v>2.9018473562000002</v>
      </c>
      <c r="AG9" s="29">
        <f>2.236*0.546809064449179</f>
        <v>1.2226650681083644</v>
      </c>
      <c r="AH9" s="26">
        <v>5</v>
      </c>
      <c r="AI9" s="30">
        <f t="shared" si="0"/>
        <v>1.7503302300000001</v>
      </c>
      <c r="AJ9" s="31">
        <f t="shared" si="1"/>
        <v>1.7503302300000002E-3</v>
      </c>
      <c r="AK9" s="32">
        <v>1.2023200000000001</v>
      </c>
      <c r="AL9" s="33">
        <f>2.236*0.163917791590785</f>
        <v>0.36652018199699532</v>
      </c>
      <c r="AM9" s="27">
        <v>0.54801023000000004</v>
      </c>
      <c r="AN9" s="27">
        <f>2.236*0.117680934732488</f>
        <v>0.26313457006184321</v>
      </c>
      <c r="AO9" s="34">
        <v>1132.7079491680263</v>
      </c>
      <c r="AP9" s="34">
        <f>2.236*42.3342012813241</f>
        <v>94.659274065040691</v>
      </c>
      <c r="AQ9" s="34">
        <v>979.14966629690002</v>
      </c>
      <c r="AR9" s="34">
        <f>2.236*105.531289106682</f>
        <v>235.96796244254097</v>
      </c>
      <c r="AS9" s="34">
        <v>168.10910052</v>
      </c>
      <c r="AT9" s="34">
        <f>2.236*2.33735368553528</f>
        <v>5.226322840856886</v>
      </c>
      <c r="AU9" s="34">
        <v>349.84350968000001</v>
      </c>
      <c r="AV9" s="35">
        <f>2.236*44.508289288011</f>
        <v>99.520534847992607</v>
      </c>
      <c r="AW9" s="36">
        <v>1.8984614552754888</v>
      </c>
      <c r="AX9" s="37">
        <v>0.39383875594095047</v>
      </c>
      <c r="AY9" s="38">
        <v>1.3618774214437013</v>
      </c>
      <c r="AZ9" s="38">
        <v>0.53658403383178754</v>
      </c>
      <c r="BA9" s="38">
        <v>0.20212093373720641</v>
      </c>
      <c r="BB9" s="38">
        <v>0.19171782220374406</v>
      </c>
      <c r="BC9" s="39">
        <v>0.39400317927509559</v>
      </c>
      <c r="BD9" s="38">
        <v>0.94853026185309297</v>
      </c>
      <c r="BE9" s="37">
        <f t="shared" si="2"/>
        <v>0.45579398995275799</v>
      </c>
      <c r="BI9" s="22"/>
      <c r="BJ9" s="23">
        <f>BF10*100</f>
        <v>52.114896033075993</v>
      </c>
      <c r="BK9" s="40">
        <f>BG10*100</f>
        <v>81.231012628542246</v>
      </c>
      <c r="BL9" s="40">
        <f>BH10*100</f>
        <v>33.898917089626664</v>
      </c>
    </row>
    <row r="10" spans="1:75" s="27" customFormat="1">
      <c r="A10" s="25" t="s">
        <v>202</v>
      </c>
      <c r="B10" s="26" t="s">
        <v>40</v>
      </c>
      <c r="C10" s="27" t="s">
        <v>35</v>
      </c>
      <c r="D10" s="27" t="s">
        <v>36</v>
      </c>
      <c r="E10" s="27">
        <v>63</v>
      </c>
      <c r="F10" s="28"/>
      <c r="J10" s="27" t="s">
        <v>41</v>
      </c>
      <c r="K10" s="27">
        <v>7.1</v>
      </c>
      <c r="M10" s="27" t="s">
        <v>284</v>
      </c>
      <c r="O10" s="27">
        <v>16</v>
      </c>
      <c r="P10" s="27" t="s">
        <v>42</v>
      </c>
      <c r="S10" s="27">
        <v>0.65</v>
      </c>
      <c r="T10" s="26" t="s">
        <v>43</v>
      </c>
      <c r="U10" s="26">
        <v>25</v>
      </c>
      <c r="V10" s="26" t="s">
        <v>44</v>
      </c>
      <c r="W10" s="26"/>
      <c r="X10" s="26"/>
      <c r="Y10" s="26"/>
      <c r="Z10" s="27" t="s">
        <v>45</v>
      </c>
      <c r="AA10" s="27">
        <v>25</v>
      </c>
      <c r="AB10" s="27" t="s">
        <v>44</v>
      </c>
      <c r="AF10" s="29">
        <v>61.528260409999994</v>
      </c>
      <c r="AG10" s="29">
        <f>2.236*1.67462760516797</f>
        <v>3.7444673251555813</v>
      </c>
      <c r="AH10" s="26">
        <v>5</v>
      </c>
      <c r="AI10" s="30">
        <f t="shared" si="0"/>
        <v>2.6625130096</v>
      </c>
      <c r="AJ10" s="31">
        <f t="shared" si="1"/>
        <v>2.6625130096000001E-3</v>
      </c>
      <c r="AK10" s="32">
        <v>1.84674</v>
      </c>
      <c r="AL10" s="33">
        <f>2.236*0.10585715186042</f>
        <v>0.23669659155989914</v>
      </c>
      <c r="AM10" s="27">
        <v>0.81577300959999999</v>
      </c>
      <c r="AN10" s="27">
        <f>2.236*0.0284754066985018</f>
        <v>6.367100937785003E-2</v>
      </c>
      <c r="AO10" s="34">
        <v>1228.6939091027732</v>
      </c>
      <c r="AP10" s="34">
        <f>2.236*41.4866901767332</f>
        <v>92.764239235175438</v>
      </c>
      <c r="AQ10" s="34">
        <v>1436.08910355628</v>
      </c>
      <c r="AR10" s="34">
        <f>2.236*41.2412225305342</f>
        <v>92.21537357827448</v>
      </c>
      <c r="AS10" s="34">
        <v>143.38548682000001</v>
      </c>
      <c r="AT10" s="34">
        <f>2.236*4.49350961104188</f>
        <v>10.047487490289644</v>
      </c>
      <c r="AU10" s="34">
        <v>321.84212062</v>
      </c>
      <c r="AV10" s="35">
        <f>2.236*13.776750957704</f>
        <v>30.804815141426147</v>
      </c>
      <c r="AW10" s="36">
        <v>3.440600919758328</v>
      </c>
      <c r="AX10" s="37">
        <v>0.52734582928419038</v>
      </c>
      <c r="AY10" s="38">
        <v>2.2690781896964554</v>
      </c>
      <c r="AZ10" s="38">
        <v>1.1715227300618725</v>
      </c>
      <c r="BA10" s="38">
        <v>0.26479571392996681</v>
      </c>
      <c r="BB10" s="38">
        <v>0.26255011535422362</v>
      </c>
      <c r="BC10" s="39">
        <v>0.51629896906223061</v>
      </c>
      <c r="BD10" s="38">
        <v>0.99151950557501434</v>
      </c>
      <c r="BE10" s="37">
        <f t="shared" si="2"/>
        <v>0.44173679543411631</v>
      </c>
      <c r="BF10" s="40">
        <f>(AI10-AI9)/AI9</f>
        <v>0.52114896033075997</v>
      </c>
      <c r="BG10" s="41">
        <f>(AW10-AW9)/AW9</f>
        <v>0.81231012628542243</v>
      </c>
      <c r="BH10" s="41">
        <f>(AX10-AX9)/AX9</f>
        <v>0.33898917089626668</v>
      </c>
      <c r="BI10" s="22"/>
      <c r="BJ10" s="23">
        <f>BF12*100</f>
        <v>21.638393185218515</v>
      </c>
      <c r="BK10" s="40">
        <f>BG12*100</f>
        <v>38.703498339794038</v>
      </c>
      <c r="BL10" s="40">
        <f>BH12*100</f>
        <v>13.083383904667242</v>
      </c>
    </row>
    <row r="11" spans="1:75" s="27" customFormat="1">
      <c r="A11" s="25" t="s">
        <v>202</v>
      </c>
      <c r="B11" s="26" t="s">
        <v>40</v>
      </c>
      <c r="C11" s="27" t="s">
        <v>38</v>
      </c>
      <c r="D11" s="27" t="s">
        <v>36</v>
      </c>
      <c r="E11" s="27">
        <v>63</v>
      </c>
      <c r="F11" s="28"/>
      <c r="J11" s="27" t="s">
        <v>41</v>
      </c>
      <c r="K11" s="27">
        <v>7.1</v>
      </c>
      <c r="M11" s="27" t="s">
        <v>284</v>
      </c>
      <c r="O11" s="27">
        <v>16</v>
      </c>
      <c r="P11" s="27" t="s">
        <v>42</v>
      </c>
      <c r="S11" s="27">
        <v>0.65</v>
      </c>
      <c r="T11" s="26" t="s">
        <v>43</v>
      </c>
      <c r="U11" s="26">
        <v>25</v>
      </c>
      <c r="V11" s="26" t="s">
        <v>44</v>
      </c>
      <c r="W11" s="26"/>
      <c r="X11" s="26"/>
      <c r="Y11" s="26"/>
      <c r="Z11" s="27" t="s">
        <v>45</v>
      </c>
      <c r="AA11" s="27">
        <v>75</v>
      </c>
      <c r="AB11" s="27" t="s">
        <v>44</v>
      </c>
      <c r="AF11" s="29">
        <v>0.83336455640000007</v>
      </c>
      <c r="AG11" s="29">
        <f>2.236*0.34211142660552</f>
        <v>0.76496114988994279</v>
      </c>
      <c r="AH11" s="26">
        <v>5</v>
      </c>
      <c r="AI11" s="30">
        <f t="shared" si="0"/>
        <v>2.11487574</v>
      </c>
      <c r="AJ11" s="31">
        <f t="shared" si="1"/>
        <v>2.1148757400000001E-3</v>
      </c>
      <c r="AK11" s="32">
        <v>1.4351400000000001</v>
      </c>
      <c r="AL11" s="33">
        <f>2.236*0.0970231343546471</f>
        <v>0.21694372841699094</v>
      </c>
      <c r="AM11" s="27">
        <v>0.67973574000000003</v>
      </c>
      <c r="AN11" s="27">
        <f>2.236*0.106565434227047</f>
        <v>0.23828031093167712</v>
      </c>
      <c r="AO11" s="34">
        <v>1231.199393278956</v>
      </c>
      <c r="AP11" s="34">
        <f>2.236*30.1551001810614</f>
        <v>67.426804004853295</v>
      </c>
      <c r="AQ11" s="34">
        <v>1079.9074496574201</v>
      </c>
      <c r="AR11" s="34">
        <f>2.236*37.6272518168856</f>
        <v>84.134535062556196</v>
      </c>
      <c r="AS11" s="34">
        <v>332.24146712000004</v>
      </c>
      <c r="AT11" s="34">
        <f>2.236*11.1143444433104</f>
        <v>24.85167417524206</v>
      </c>
      <c r="AU11" s="34">
        <v>1161.3521416000001</v>
      </c>
      <c r="AV11" s="35">
        <f>2.236*17.5006265272923</f>
        <v>39.131400915025587</v>
      </c>
      <c r="AW11" s="36">
        <v>2.5009951866947602</v>
      </c>
      <c r="AX11" s="37">
        <v>1.2662255764936579</v>
      </c>
      <c r="AY11" s="38">
        <v>1.766943497270361</v>
      </c>
      <c r="AZ11" s="38">
        <v>0.73405168942439925</v>
      </c>
      <c r="BA11" s="38">
        <v>0.47681301912259688</v>
      </c>
      <c r="BB11" s="38">
        <v>0.78941255737106097</v>
      </c>
      <c r="BC11" s="39">
        <v>0.41543585890459384</v>
      </c>
      <c r="BD11" s="38">
        <v>1.6556019355840814</v>
      </c>
      <c r="BE11" s="37">
        <f t="shared" si="2"/>
        <v>0.47363723399807683</v>
      </c>
      <c r="BF11" s="40"/>
      <c r="BI11" s="22"/>
      <c r="BJ11" s="23">
        <f>BF14*100</f>
        <v>-5.5370664909990523</v>
      </c>
      <c r="BK11" s="40">
        <f>BG14*100</f>
        <v>-5.6350797352557525</v>
      </c>
      <c r="BL11" s="40">
        <f>BH14*100</f>
        <v>5.1624364305041777</v>
      </c>
    </row>
    <row r="12" spans="1:75" s="27" customFormat="1">
      <c r="A12" s="25" t="s">
        <v>202</v>
      </c>
      <c r="B12" s="26" t="s">
        <v>40</v>
      </c>
      <c r="C12" s="27" t="s">
        <v>35</v>
      </c>
      <c r="D12" s="27" t="s">
        <v>36</v>
      </c>
      <c r="E12" s="27">
        <v>63</v>
      </c>
      <c r="F12" s="28"/>
      <c r="J12" s="27" t="s">
        <v>41</v>
      </c>
      <c r="K12" s="27">
        <v>7.1</v>
      </c>
      <c r="M12" s="27" t="s">
        <v>284</v>
      </c>
      <c r="O12" s="27">
        <v>16</v>
      </c>
      <c r="P12" s="27" t="s">
        <v>42</v>
      </c>
      <c r="S12" s="27">
        <v>0.65</v>
      </c>
      <c r="T12" s="26" t="s">
        <v>43</v>
      </c>
      <c r="U12" s="26">
        <v>25</v>
      </c>
      <c r="V12" s="26" t="s">
        <v>44</v>
      </c>
      <c r="W12" s="26"/>
      <c r="X12" s="26"/>
      <c r="Y12" s="26"/>
      <c r="Z12" s="27" t="s">
        <v>45</v>
      </c>
      <c r="AA12" s="27">
        <v>75</v>
      </c>
      <c r="AB12" s="27" t="s">
        <v>44</v>
      </c>
      <c r="AF12" s="29">
        <v>66.060722205999994</v>
      </c>
      <c r="AG12" s="29">
        <f>2.236*3.83927449467147</f>
        <v>8.5846177700854085</v>
      </c>
      <c r="AH12" s="26">
        <v>5</v>
      </c>
      <c r="AI12" s="30">
        <f t="shared" si="0"/>
        <v>2.5725008679999997</v>
      </c>
      <c r="AJ12" s="31">
        <f t="shared" si="1"/>
        <v>2.5725008679999997E-3</v>
      </c>
      <c r="AK12" s="32">
        <v>1.6658599999999999</v>
      </c>
      <c r="AL12" s="33">
        <f>2.236*0.134220738338009</f>
        <v>0.3001175709237881</v>
      </c>
      <c r="AM12" s="27">
        <v>0.90664086799999999</v>
      </c>
      <c r="AN12" s="27">
        <f>2.236*0.0860637079003</f>
        <v>0.19243845086507083</v>
      </c>
      <c r="AO12" s="34">
        <v>1269.0984123327896</v>
      </c>
      <c r="AP12" s="34">
        <f>2.236*42.3989183121452</f>
        <v>94.803981345956672</v>
      </c>
      <c r="AQ12" s="34">
        <v>1494.33759706362</v>
      </c>
      <c r="AR12" s="34">
        <f>2.236*152.876792945839</f>
        <v>341.83250902689599</v>
      </c>
      <c r="AS12" s="34">
        <v>293.99404414000003</v>
      </c>
      <c r="AT12" s="34">
        <f>2.236*15.5106548948428</f>
        <v>34.681824344868502</v>
      </c>
      <c r="AU12" s="34">
        <v>1039.1521545600001</v>
      </c>
      <c r="AV12" s="35">
        <f>2.236*41.5114627940973</f>
        <v>92.81963080760157</v>
      </c>
      <c r="AW12" s="36">
        <v>3.4689678172554954</v>
      </c>
      <c r="AX12" s="37">
        <v>1.4318907297654091</v>
      </c>
      <c r="AY12" s="38">
        <v>2.1141402811687007</v>
      </c>
      <c r="AZ12" s="38">
        <v>1.3548275360867947</v>
      </c>
      <c r="BA12" s="38">
        <v>0.48975291837106044</v>
      </c>
      <c r="BB12" s="38">
        <v>0.9421378113943486</v>
      </c>
      <c r="BC12" s="39">
        <v>0.64084088844749865</v>
      </c>
      <c r="BD12" s="38">
        <v>1.9237002497666376</v>
      </c>
      <c r="BE12" s="37">
        <f t="shared" si="2"/>
        <v>0.54424793680141192</v>
      </c>
      <c r="BF12" s="40">
        <f>(AI12-AI11)/AI11</f>
        <v>0.21638393185218516</v>
      </c>
      <c r="BG12" s="40">
        <f>(AW12-AW11)/AW11</f>
        <v>0.38703498339794035</v>
      </c>
      <c r="BH12" s="40">
        <f>(AX12-AX11)/AX11</f>
        <v>0.13083383904667242</v>
      </c>
      <c r="BI12" s="22"/>
      <c r="BJ12" s="23">
        <f>BF16*100</f>
        <v>-13.798486483184281</v>
      </c>
      <c r="BK12" s="40">
        <f>BG16*100</f>
        <v>-6.7557455743412653</v>
      </c>
      <c r="BL12" s="40">
        <f>BH16*100</f>
        <v>-17.865120475908956</v>
      </c>
    </row>
    <row r="13" spans="1:75" s="27" customFormat="1">
      <c r="A13" s="25" t="s">
        <v>202</v>
      </c>
      <c r="B13" s="26" t="s">
        <v>40</v>
      </c>
      <c r="C13" s="27" t="s">
        <v>38</v>
      </c>
      <c r="D13" s="27" t="s">
        <v>36</v>
      </c>
      <c r="E13" s="27">
        <v>63</v>
      </c>
      <c r="F13" s="28"/>
      <c r="J13" s="27" t="s">
        <v>41</v>
      </c>
      <c r="K13" s="27">
        <v>7.1</v>
      </c>
      <c r="M13" s="27" t="s">
        <v>284</v>
      </c>
      <c r="O13" s="27">
        <v>16</v>
      </c>
      <c r="P13" s="27" t="s">
        <v>42</v>
      </c>
      <c r="R13" s="27">
        <v>0.65</v>
      </c>
      <c r="S13" s="27">
        <v>0.65</v>
      </c>
      <c r="T13" s="26" t="s">
        <v>43</v>
      </c>
      <c r="U13" s="26">
        <v>250</v>
      </c>
      <c r="V13" s="26" t="s">
        <v>44</v>
      </c>
      <c r="W13" s="26"/>
      <c r="X13" s="26"/>
      <c r="Y13" s="26"/>
      <c r="Z13" s="27" t="s">
        <v>45</v>
      </c>
      <c r="AA13" s="27">
        <v>0</v>
      </c>
      <c r="AB13" s="27" t="s">
        <v>44</v>
      </c>
      <c r="AF13" s="34">
        <v>1.6380016399999999E-2</v>
      </c>
      <c r="AG13" s="34">
        <f>2.236*0.0163800164</f>
        <v>3.6625716670400002E-2</v>
      </c>
      <c r="AH13" s="26">
        <v>5</v>
      </c>
      <c r="AI13" s="30">
        <f t="shared" si="0"/>
        <v>18.09478</v>
      </c>
      <c r="AJ13" s="31">
        <f t="shared" si="1"/>
        <v>1.8094780000000001E-2</v>
      </c>
      <c r="AK13" s="31">
        <v>14.994080000000002</v>
      </c>
      <c r="AL13" s="31">
        <f>2.236*0.701432478147391</f>
        <v>1.5684030211375664</v>
      </c>
      <c r="AM13" s="31">
        <v>3.1006999999999998</v>
      </c>
      <c r="AN13" s="31">
        <f>2.236*0.312840764607172</f>
        <v>0.69951194966163655</v>
      </c>
      <c r="AO13" s="34">
        <v>1318.0762953996737</v>
      </c>
      <c r="AP13" s="34">
        <f>2.236*39.574255876222</f>
        <v>88.488036139232392</v>
      </c>
      <c r="AQ13" s="34">
        <v>974.10649526916802</v>
      </c>
      <c r="AR13" s="34">
        <f>2.236*26.3086066256966</f>
        <v>58.826044415057609</v>
      </c>
      <c r="AS13" s="34">
        <v>18.018644462000001</v>
      </c>
      <c r="AT13" s="34">
        <f>2.236*1.88009338351323</f>
        <v>4.2038888055355832</v>
      </c>
      <c r="AU13" s="34">
        <v>42.238170246000003</v>
      </c>
      <c r="AV13" s="35">
        <f>2.236*3.82959266051317</f>
        <v>8.5629691889074486</v>
      </c>
      <c r="AW13" s="36">
        <v>22.783753429207451</v>
      </c>
      <c r="AX13" s="37">
        <v>0.4011408910365572</v>
      </c>
      <c r="AY13" s="38">
        <v>19.763341419326341</v>
      </c>
      <c r="AZ13" s="38">
        <v>3.0204120098811091</v>
      </c>
      <c r="BA13" s="38">
        <v>0.27017299655478499</v>
      </c>
      <c r="BB13" s="38">
        <v>0.13096789448177221</v>
      </c>
      <c r="BC13" s="39">
        <v>0.15282901538742247</v>
      </c>
      <c r="BD13" s="38">
        <v>0.48475567933087227</v>
      </c>
      <c r="BE13" s="37">
        <f t="shared" si="2"/>
        <v>0.2067949484063043</v>
      </c>
      <c r="BF13" s="40"/>
      <c r="BI13" s="22"/>
      <c r="BJ13" s="23">
        <f>BF18*100</f>
        <v>-3.6012326597863651</v>
      </c>
      <c r="BK13" s="40">
        <f>BG18*100</f>
        <v>-3.6665259876910494</v>
      </c>
      <c r="BL13" s="40">
        <f>BH18*100</f>
        <v>-26.626679109679692</v>
      </c>
    </row>
    <row r="14" spans="1:75" s="27" customFormat="1">
      <c r="A14" s="25" t="s">
        <v>202</v>
      </c>
      <c r="B14" s="26" t="s">
        <v>40</v>
      </c>
      <c r="C14" s="27" t="s">
        <v>35</v>
      </c>
      <c r="D14" s="27" t="s">
        <v>36</v>
      </c>
      <c r="E14" s="27">
        <v>63</v>
      </c>
      <c r="F14" s="28"/>
      <c r="J14" s="27" t="s">
        <v>41</v>
      </c>
      <c r="K14" s="27">
        <v>7.1</v>
      </c>
      <c r="M14" s="27" t="s">
        <v>284</v>
      </c>
      <c r="O14" s="27">
        <v>16</v>
      </c>
      <c r="P14" s="27" t="s">
        <v>42</v>
      </c>
      <c r="R14" s="27">
        <v>0.65</v>
      </c>
      <c r="S14" s="27">
        <v>0.65</v>
      </c>
      <c r="T14" s="26" t="s">
        <v>43</v>
      </c>
      <c r="U14" s="26">
        <v>250</v>
      </c>
      <c r="V14" s="26" t="s">
        <v>44</v>
      </c>
      <c r="W14" s="26"/>
      <c r="X14" s="26"/>
      <c r="Y14" s="26"/>
      <c r="Z14" s="27" t="s">
        <v>45</v>
      </c>
      <c r="AA14" s="27">
        <v>0</v>
      </c>
      <c r="AB14" s="27" t="s">
        <v>44</v>
      </c>
      <c r="AF14" s="34">
        <v>30.122480025999998</v>
      </c>
      <c r="AG14" s="34">
        <f>2.236*5.76113481652494</f>
        <v>12.881897449749768</v>
      </c>
      <c r="AH14" s="26">
        <v>5</v>
      </c>
      <c r="AI14" s="30">
        <f t="shared" si="0"/>
        <v>17.092860000000002</v>
      </c>
      <c r="AJ14" s="31">
        <f t="shared" si="1"/>
        <v>1.7092860000000001E-2</v>
      </c>
      <c r="AK14" s="31">
        <v>14.088640000000002</v>
      </c>
      <c r="AL14" s="31">
        <f>2.236*0.792668767266627</f>
        <v>1.7724073636081783</v>
      </c>
      <c r="AM14" s="31">
        <v>3.0042200000000001</v>
      </c>
      <c r="AN14" s="31">
        <f>2.236*0.368443264831914</f>
        <v>0.82383914016415971</v>
      </c>
      <c r="AO14" s="34">
        <v>1317.1661436215334</v>
      </c>
      <c r="AP14" s="34">
        <f>2.236*32.3697325478175</f>
        <v>72.378721976919934</v>
      </c>
      <c r="AQ14" s="34">
        <v>979.55247588907002</v>
      </c>
      <c r="AR14" s="34">
        <f>2.236*70.5318293978266</f>
        <v>157.70917053354029</v>
      </c>
      <c r="AS14" s="34">
        <v>15.198875348000001</v>
      </c>
      <c r="AT14" s="34">
        <f>2.236*0.932520425725241</f>
        <v>2.0851156719216388</v>
      </c>
      <c r="AU14" s="34">
        <v>69.142090576000001</v>
      </c>
      <c r="AV14" s="35">
        <f>2.236*18.2932319999381</f>
        <v>40.9036667518616</v>
      </c>
      <c r="AW14" s="36">
        <v>21.499870756787544</v>
      </c>
      <c r="AX14" s="37">
        <v>0.4218495345330775</v>
      </c>
      <c r="AY14" s="38">
        <v>18.55707961767208</v>
      </c>
      <c r="AZ14" s="38">
        <v>2.942791139115462</v>
      </c>
      <c r="BA14" s="38">
        <v>0.21413148318284675</v>
      </c>
      <c r="BB14" s="38">
        <v>0.20771805135023072</v>
      </c>
      <c r="BC14" s="39">
        <v>0.15858050941986659</v>
      </c>
      <c r="BD14" s="38">
        <v>0.97004909442886733</v>
      </c>
      <c r="BE14" s="37">
        <f t="shared" si="2"/>
        <v>0.2132370477207168</v>
      </c>
      <c r="BF14" s="40">
        <f>(AI14-AI13)/AI13</f>
        <v>-5.5370664909990527E-2</v>
      </c>
      <c r="BG14" s="40">
        <f>(AW14-AW13)/AW13</f>
        <v>-5.6350797352557526E-2</v>
      </c>
      <c r="BH14" s="40">
        <f>(AX14-AX13)/AX13</f>
        <v>5.1624364305041776E-2</v>
      </c>
      <c r="BI14" s="22"/>
    </row>
    <row r="15" spans="1:75" s="27" customFormat="1">
      <c r="A15" s="25" t="s">
        <v>202</v>
      </c>
      <c r="B15" s="26" t="s">
        <v>40</v>
      </c>
      <c r="C15" s="27" t="s">
        <v>38</v>
      </c>
      <c r="D15" s="27" t="s">
        <v>36</v>
      </c>
      <c r="E15" s="27">
        <v>63</v>
      </c>
      <c r="F15" s="28"/>
      <c r="J15" s="27" t="s">
        <v>41</v>
      </c>
      <c r="K15" s="27">
        <v>7.1</v>
      </c>
      <c r="M15" s="27" t="s">
        <v>284</v>
      </c>
      <c r="O15" s="27">
        <v>16</v>
      </c>
      <c r="P15" s="27" t="s">
        <v>42</v>
      </c>
      <c r="S15" s="27">
        <v>0.65</v>
      </c>
      <c r="T15" s="26" t="s">
        <v>43</v>
      </c>
      <c r="U15" s="26">
        <v>250</v>
      </c>
      <c r="V15" s="26" t="s">
        <v>44</v>
      </c>
      <c r="W15" s="26"/>
      <c r="X15" s="26"/>
      <c r="Y15" s="26"/>
      <c r="Z15" s="27" t="s">
        <v>45</v>
      </c>
      <c r="AA15" s="27">
        <v>25</v>
      </c>
      <c r="AB15" s="27" t="s">
        <v>44</v>
      </c>
      <c r="AF15" s="34">
        <v>2.40673886E-2</v>
      </c>
      <c r="AG15" s="34">
        <f>2.236*0.0240673886</f>
        <v>5.3814680909600003E-2</v>
      </c>
      <c r="AH15" s="26">
        <v>5</v>
      </c>
      <c r="AI15" s="30">
        <f t="shared" si="0"/>
        <v>18.333459999999999</v>
      </c>
      <c r="AJ15" s="31">
        <f t="shared" si="1"/>
        <v>1.8333459999999999E-2</v>
      </c>
      <c r="AK15" s="31">
        <v>14.925419999999999</v>
      </c>
      <c r="AL15" s="31">
        <f>2.236*0.531359334537383</f>
        <v>1.1881194720255885</v>
      </c>
      <c r="AM15" s="31">
        <v>3.4080400000000002</v>
      </c>
      <c r="AN15" s="31">
        <f>2.236*0.32317144613966</f>
        <v>0.72261135356827977</v>
      </c>
      <c r="AO15" s="34">
        <v>1262.7139432300162</v>
      </c>
      <c r="AP15" s="34">
        <f>2.236*10.6282997632763</f>
        <v>23.764878270685806</v>
      </c>
      <c r="AQ15" s="34">
        <v>815.67826303425795</v>
      </c>
      <c r="AR15" s="34">
        <f>2.236*44.8937161479547</f>
        <v>100.38234930682671</v>
      </c>
      <c r="AS15" s="34">
        <v>152.12942614000002</v>
      </c>
      <c r="AT15" s="34">
        <f>2.236*13.5082067579147</f>
        <v>30.204350310697272</v>
      </c>
      <c r="AU15" s="34">
        <v>122.67633798999999</v>
      </c>
      <c r="AV15" s="35">
        <f>2.236*14.9693024863102</f>
        <v>33.471360359389614</v>
      </c>
      <c r="AW15" s="36">
        <v>21.626400090115418</v>
      </c>
      <c r="AX15" s="37">
        <v>2.6886814464219184</v>
      </c>
      <c r="AY15" s="38">
        <v>18.846535942564145</v>
      </c>
      <c r="AZ15" s="38">
        <v>2.7798641475512724</v>
      </c>
      <c r="BA15" s="38">
        <v>2.2705955794984787</v>
      </c>
      <c r="BB15" s="38">
        <v>0.41808586692343958</v>
      </c>
      <c r="BC15" s="39">
        <v>0.14750000509499789</v>
      </c>
      <c r="BD15" s="38">
        <v>0.18413048571854657</v>
      </c>
      <c r="BE15" s="37">
        <f t="shared" si="2"/>
        <v>0.22833796301879614</v>
      </c>
      <c r="BF15" s="40"/>
      <c r="BI15" s="22"/>
      <c r="BJ15" s="23"/>
      <c r="BK15" s="40"/>
      <c r="BL15" s="40"/>
    </row>
    <row r="16" spans="1:75" s="27" customFormat="1">
      <c r="A16" s="25" t="s">
        <v>202</v>
      </c>
      <c r="B16" s="26" t="s">
        <v>40</v>
      </c>
      <c r="C16" s="27" t="s">
        <v>35</v>
      </c>
      <c r="D16" s="27" t="s">
        <v>36</v>
      </c>
      <c r="E16" s="27">
        <v>63</v>
      </c>
      <c r="F16" s="28"/>
      <c r="J16" s="27" t="s">
        <v>41</v>
      </c>
      <c r="K16" s="27">
        <v>7.1</v>
      </c>
      <c r="M16" s="27" t="s">
        <v>284</v>
      </c>
      <c r="O16" s="27">
        <v>16</v>
      </c>
      <c r="P16" s="27" t="s">
        <v>42</v>
      </c>
      <c r="S16" s="27">
        <v>0.65</v>
      </c>
      <c r="T16" s="26" t="s">
        <v>43</v>
      </c>
      <c r="U16" s="26">
        <v>250</v>
      </c>
      <c r="V16" s="26" t="s">
        <v>44</v>
      </c>
      <c r="W16" s="26"/>
      <c r="X16" s="26"/>
      <c r="Y16" s="26"/>
      <c r="Z16" s="27" t="s">
        <v>45</v>
      </c>
      <c r="AA16" s="27">
        <v>25</v>
      </c>
      <c r="AB16" s="27" t="s">
        <v>44</v>
      </c>
      <c r="AF16" s="34">
        <v>25.638693480600001</v>
      </c>
      <c r="AG16" s="34">
        <f>2.236*4.86140107669298</f>
        <v>10.870092807485504</v>
      </c>
      <c r="AH16" s="26">
        <v>5</v>
      </c>
      <c r="AI16" s="30">
        <f t="shared" si="0"/>
        <v>15.803720000000002</v>
      </c>
      <c r="AJ16" s="31">
        <f t="shared" si="1"/>
        <v>1.580372E-2</v>
      </c>
      <c r="AK16" s="31">
        <v>12.771840000000001</v>
      </c>
      <c r="AL16" s="31">
        <f>2.236*0.648924343510086</f>
        <v>1.4509948320885524</v>
      </c>
      <c r="AM16" s="31">
        <v>3.0318800000000001</v>
      </c>
      <c r="AN16" s="31">
        <f>2.236*0.239131606861159</f>
        <v>0.53469827294155159</v>
      </c>
      <c r="AO16" s="34">
        <v>1348.2176522022842</v>
      </c>
      <c r="AP16" s="34">
        <f>2.236*40.9725035457296</f>
        <v>91.614517928251402</v>
      </c>
      <c r="AQ16" s="34">
        <v>971.72559073409502</v>
      </c>
      <c r="AR16" s="34">
        <f>2.236*65.7686601013148</f>
        <v>147.05872398653989</v>
      </c>
      <c r="AS16" s="34">
        <v>139.49856851999999</v>
      </c>
      <c r="AT16" s="34">
        <f>2.236*4.44603400257853</f>
        <v>9.9413320297655954</v>
      </c>
      <c r="AU16" s="34">
        <v>140.73507838</v>
      </c>
      <c r="AV16" s="35">
        <f>2.236*16.1477448431876</f>
        <v>36.106357469367474</v>
      </c>
      <c r="AW16" s="36">
        <v>20.16537552313811</v>
      </c>
      <c r="AX16" s="37">
        <v>2.2083452668052312</v>
      </c>
      <c r="AY16" s="38">
        <v>17.219220139103221</v>
      </c>
      <c r="AZ16" s="38">
        <v>2.9461553840348884</v>
      </c>
      <c r="BA16" s="38">
        <v>1.781653397366477</v>
      </c>
      <c r="BB16" s="38">
        <v>0.42669186943875442</v>
      </c>
      <c r="BC16" s="39">
        <v>0.17109691148813691</v>
      </c>
      <c r="BD16" s="38">
        <v>0.23949207520916377</v>
      </c>
      <c r="BE16" s="37">
        <f t="shared" si="2"/>
        <v>0.23738787833233113</v>
      </c>
      <c r="BF16" s="40">
        <f>(AI16-AI15)/AI15</f>
        <v>-0.1379848648318428</v>
      </c>
      <c r="BG16" s="40">
        <f>(AW16-AW15)/AW15</f>
        <v>-6.7557455743412653E-2</v>
      </c>
      <c r="BH16" s="40">
        <f>(AX16-AX15)/AX15</f>
        <v>-0.17865120475908955</v>
      </c>
      <c r="BI16" s="22"/>
    </row>
    <row r="17" spans="1:75" s="27" customFormat="1">
      <c r="A17" s="25" t="s">
        <v>202</v>
      </c>
      <c r="B17" s="26" t="s">
        <v>40</v>
      </c>
      <c r="C17" s="27" t="s">
        <v>38</v>
      </c>
      <c r="D17" s="27" t="s">
        <v>36</v>
      </c>
      <c r="E17" s="27">
        <v>63</v>
      </c>
      <c r="F17" s="28"/>
      <c r="J17" s="27" t="s">
        <v>41</v>
      </c>
      <c r="K17" s="27">
        <v>7.1</v>
      </c>
      <c r="M17" s="27" t="s">
        <v>284</v>
      </c>
      <c r="O17" s="27">
        <v>16</v>
      </c>
      <c r="P17" s="27" t="s">
        <v>42</v>
      </c>
      <c r="S17" s="27">
        <v>0.65</v>
      </c>
      <c r="T17" s="26" t="s">
        <v>43</v>
      </c>
      <c r="U17" s="26">
        <v>250</v>
      </c>
      <c r="V17" s="26" t="s">
        <v>44</v>
      </c>
      <c r="W17" s="26"/>
      <c r="X17" s="26"/>
      <c r="Y17" s="26"/>
      <c r="Z17" s="27" t="s">
        <v>45</v>
      </c>
      <c r="AA17" s="27">
        <v>75</v>
      </c>
      <c r="AB17" s="27" t="s">
        <v>44</v>
      </c>
      <c r="AF17" s="34">
        <v>0</v>
      </c>
      <c r="AG17" s="34">
        <f>2.236*0</f>
        <v>0</v>
      </c>
      <c r="AH17" s="26">
        <v>5</v>
      </c>
      <c r="AI17" s="30">
        <f t="shared" si="0"/>
        <v>16.848119999999998</v>
      </c>
      <c r="AJ17" s="31">
        <f t="shared" si="1"/>
        <v>1.6848119999999998E-2</v>
      </c>
      <c r="AK17" s="31">
        <v>13.237459999999999</v>
      </c>
      <c r="AL17" s="31">
        <f>2.236*0.334038033163897</f>
        <v>0.74690904215447385</v>
      </c>
      <c r="AM17" s="31">
        <v>3.6106600000000002</v>
      </c>
      <c r="AN17" s="31">
        <f>2.236*0.269706289507679</f>
        <v>0.60306326333917026</v>
      </c>
      <c r="AO17" s="34">
        <v>1303.6016209461663</v>
      </c>
      <c r="AP17" s="34">
        <f>2.236*20.4814260893783</f>
        <v>45.796468735849885</v>
      </c>
      <c r="AQ17" s="34">
        <v>922.32372345840099</v>
      </c>
      <c r="AR17" s="34">
        <f>2.236*38.3992514102093</f>
        <v>85.860726153228015</v>
      </c>
      <c r="AS17" s="34">
        <v>423.13597854</v>
      </c>
      <c r="AT17" s="34">
        <f>2.236*37.8378410025676</f>
        <v>84.605412481741169</v>
      </c>
      <c r="AU17" s="34">
        <v>605.05067087999998</v>
      </c>
      <c r="AV17" s="35">
        <f>2.236*38.4034754448508</f>
        <v>85.870171094686398</v>
      </c>
      <c r="AW17" s="36">
        <v>20.58657168855235</v>
      </c>
      <c r="AX17" s="37">
        <v>7.7858778458036895</v>
      </c>
      <c r="AY17" s="38">
        <v>17.256374313210038</v>
      </c>
      <c r="AZ17" s="38">
        <v>3.3301973753423106</v>
      </c>
      <c r="BA17" s="38">
        <v>5.6012455904841083</v>
      </c>
      <c r="BB17" s="38">
        <v>2.1846322553195812</v>
      </c>
      <c r="BC17" s="39">
        <v>0.19298360796410111</v>
      </c>
      <c r="BD17" s="38">
        <v>0.3900261504389359</v>
      </c>
      <c r="BE17" s="37">
        <f t="shared" si="2"/>
        <v>0.2727607864348599</v>
      </c>
      <c r="BF17" s="40"/>
      <c r="BI17" s="22"/>
      <c r="BJ17" s="23"/>
      <c r="BK17" s="40"/>
      <c r="BL17" s="40"/>
    </row>
    <row r="18" spans="1:75" s="27" customFormat="1">
      <c r="A18" s="25" t="s">
        <v>202</v>
      </c>
      <c r="B18" s="26" t="s">
        <v>40</v>
      </c>
      <c r="C18" s="27" t="s">
        <v>35</v>
      </c>
      <c r="D18" s="27" t="s">
        <v>36</v>
      </c>
      <c r="E18" s="27">
        <v>63</v>
      </c>
      <c r="F18" s="28"/>
      <c r="J18" s="27" t="s">
        <v>41</v>
      </c>
      <c r="K18" s="27">
        <v>7.1</v>
      </c>
      <c r="M18" s="27" t="s">
        <v>284</v>
      </c>
      <c r="O18" s="27">
        <v>16</v>
      </c>
      <c r="P18" s="27" t="s">
        <v>42</v>
      </c>
      <c r="S18" s="27">
        <v>0.65</v>
      </c>
      <c r="T18" s="26" t="s">
        <v>43</v>
      </c>
      <c r="U18" s="26">
        <v>250</v>
      </c>
      <c r="V18" s="26" t="s">
        <v>44</v>
      </c>
      <c r="W18" s="26"/>
      <c r="X18" s="26"/>
      <c r="Y18" s="26"/>
      <c r="Z18" s="27" t="s">
        <v>45</v>
      </c>
      <c r="AA18" s="27">
        <v>75</v>
      </c>
      <c r="AB18" s="27" t="s">
        <v>44</v>
      </c>
      <c r="AF18" s="34">
        <v>22.164708207</v>
      </c>
      <c r="AG18" s="34">
        <f>2.236*7.02664942818254</f>
        <v>15.711588121416161</v>
      </c>
      <c r="AH18" s="26">
        <v>5</v>
      </c>
      <c r="AI18" s="30">
        <f t="shared" si="0"/>
        <v>16.241379999999999</v>
      </c>
      <c r="AJ18" s="31">
        <f t="shared" si="1"/>
        <v>1.624138E-2</v>
      </c>
      <c r="AK18" s="31">
        <v>13.434559999999999</v>
      </c>
      <c r="AL18" s="31">
        <f>2.236*0.346595341284327</f>
        <v>0.7749871831117553</v>
      </c>
      <c r="AM18" s="31">
        <v>2.8068200000000001</v>
      </c>
      <c r="AN18" s="31">
        <f>2.236*0.21878401769782</f>
        <v>0.48920106357232557</v>
      </c>
      <c r="AO18" s="34">
        <v>1288.8317759216966</v>
      </c>
      <c r="AP18" s="34">
        <f>2.236*35.8183876410364</f>
        <v>80.089914765357406</v>
      </c>
      <c r="AQ18" s="34">
        <v>896.69870675367099</v>
      </c>
      <c r="AR18" s="34">
        <f>2.236*90.1211977964248</f>
        <v>201.51099827280586</v>
      </c>
      <c r="AS18" s="34">
        <v>314.0731629</v>
      </c>
      <c r="AT18" s="34">
        <f>2.236*22.395517467425</f>
        <v>50.076377057162311</v>
      </c>
      <c r="AU18" s="34">
        <v>532.03354135999996</v>
      </c>
      <c r="AV18" s="35">
        <f>2.236*34.3425965375932</f>
        <v>76.790045858058406</v>
      </c>
      <c r="AW18" s="36">
        <v>19.83175968761693</v>
      </c>
      <c r="AX18" s="37">
        <v>5.7127571359298992</v>
      </c>
      <c r="AY18" s="38">
        <v>17.31488782352659</v>
      </c>
      <c r="AZ18" s="38">
        <v>2.5168718640903389</v>
      </c>
      <c r="BA18" s="38">
        <v>4.2194347513698238</v>
      </c>
      <c r="BB18" s="38">
        <v>1.4933223845600752</v>
      </c>
      <c r="BC18" s="39">
        <v>0.14535883164490049</v>
      </c>
      <c r="BD18" s="38">
        <v>0.35391526888175567</v>
      </c>
      <c r="BE18" s="37">
        <f t="shared" si="2"/>
        <v>0.20892533882762071</v>
      </c>
      <c r="BF18" s="40">
        <f>(AI18-AI17)/AI17</f>
        <v>-3.6012326597863652E-2</v>
      </c>
      <c r="BG18" s="40">
        <f>(AW18-AW17)/AW17</f>
        <v>-3.6665259876910494E-2</v>
      </c>
      <c r="BH18" s="40">
        <f>(AX18-AX17)/AX17</f>
        <v>-0.26626679109679691</v>
      </c>
      <c r="BI18" s="22"/>
      <c r="BN18" s="42"/>
      <c r="BO18" s="42"/>
      <c r="BP18" s="42"/>
      <c r="BQ18" s="42"/>
      <c r="BR18" s="42"/>
      <c r="BS18" s="42"/>
      <c r="BT18" s="42"/>
      <c r="BU18" s="42"/>
      <c r="BV18" s="42"/>
      <c r="BW18" s="42"/>
    </row>
    <row r="19" spans="1:75" s="15" customFormat="1">
      <c r="A19" s="13" t="s">
        <v>203</v>
      </c>
      <c r="B19" s="14" t="s">
        <v>46</v>
      </c>
      <c r="C19" s="15" t="s">
        <v>35</v>
      </c>
      <c r="D19" s="15" t="s">
        <v>36</v>
      </c>
      <c r="E19" s="15">
        <v>63</v>
      </c>
      <c r="F19" s="16"/>
      <c r="J19" s="19" t="s">
        <v>47</v>
      </c>
      <c r="K19" s="46">
        <v>5.7</v>
      </c>
      <c r="L19" s="15">
        <v>1.4850000000000001</v>
      </c>
      <c r="M19" s="15" t="s">
        <v>283</v>
      </c>
      <c r="N19" s="15">
        <v>10.167999999999999</v>
      </c>
      <c r="O19" s="15">
        <v>10.167999999999999</v>
      </c>
      <c r="P19" s="15" t="s">
        <v>42</v>
      </c>
      <c r="Q19" s="15" t="s">
        <v>42</v>
      </c>
      <c r="R19" s="15">
        <v>0.7</v>
      </c>
      <c r="S19" s="15">
        <v>0.7</v>
      </c>
      <c r="T19" s="14"/>
      <c r="U19" s="14"/>
      <c r="V19" s="14"/>
      <c r="W19" s="14"/>
      <c r="X19" s="14"/>
      <c r="Y19" s="14"/>
      <c r="AF19" s="15">
        <v>55</v>
      </c>
      <c r="AG19" s="18">
        <f>2.45*8</f>
        <v>19.600000000000001</v>
      </c>
      <c r="AH19" s="15">
        <v>6</v>
      </c>
      <c r="AI19" s="47">
        <f t="shared" si="0"/>
        <v>0.35633333</v>
      </c>
      <c r="AJ19" s="24">
        <f t="shared" si="1"/>
        <v>3.5633333E-4</v>
      </c>
      <c r="AK19" s="47">
        <v>0.26750000000000002</v>
      </c>
      <c r="AL19" s="47">
        <f>2.45*0.0500384851889024</f>
        <v>0.12259428871281089</v>
      </c>
      <c r="AM19" s="47">
        <v>8.8833330000000002E-2</v>
      </c>
      <c r="AN19" s="47">
        <f>2.45*0.0173482307775494</f>
        <v>4.2503165404996032E-2</v>
      </c>
      <c r="AO19" s="15">
        <v>1552</v>
      </c>
      <c r="AP19" s="18">
        <f>2.45*72.7285669076771</f>
        <v>178.18498892380893</v>
      </c>
      <c r="AQ19" s="15">
        <v>1298</v>
      </c>
      <c r="AR19" s="18">
        <f>2.45*79.7670218685504</f>
        <v>195.4292035779485</v>
      </c>
      <c r="AS19" s="15">
        <v>92</v>
      </c>
      <c r="AT19" s="18">
        <f>2.45*9.89939386433147</f>
        <v>24.253514967612105</v>
      </c>
      <c r="AU19" s="48">
        <v>92.449528650328674</v>
      </c>
      <c r="AV19" s="49">
        <f>2.45*17.4996022909376</f>
        <v>42.874025612797119</v>
      </c>
      <c r="AW19" s="50">
        <v>0.53046566233999992</v>
      </c>
      <c r="AX19" s="21">
        <v>3.2822599486939101E-2</v>
      </c>
      <c r="AY19" s="51">
        <v>0.41515999999999997</v>
      </c>
      <c r="AZ19" s="51">
        <v>0.11530566234</v>
      </c>
      <c r="BA19" s="51">
        <v>2.461E-2</v>
      </c>
      <c r="BB19" s="51">
        <v>8.2125994869391029E-3</v>
      </c>
      <c r="BC19" s="52">
        <v>0.27773788982560943</v>
      </c>
      <c r="BD19" s="51">
        <v>0.3337098531872858</v>
      </c>
      <c r="BE19" s="21">
        <f t="shared" si="2"/>
        <v>0.33208721495327104</v>
      </c>
      <c r="BF19" s="47">
        <f>(AI19-AI20)/AI20</f>
        <v>0.94363634898842985</v>
      </c>
      <c r="BG19" s="47">
        <f>(AW19-AW20)/AW20</f>
        <v>2.0290413545356438</v>
      </c>
      <c r="BH19" s="47">
        <f>(AX19-AX20)/AX20</f>
        <v>0.58164645992374064</v>
      </c>
      <c r="BI19" s="53"/>
      <c r="BJ19" s="23">
        <f t="shared" ref="BJ19:BL69" si="4">BF19*100</f>
        <v>94.363634898842989</v>
      </c>
      <c r="BK19" s="40">
        <f t="shared" si="4"/>
        <v>202.90413545356438</v>
      </c>
      <c r="BL19" s="40">
        <f t="shared" si="4"/>
        <v>58.164645992374062</v>
      </c>
      <c r="BN19" s="43">
        <v>30666.666666666668</v>
      </c>
      <c r="BO19" s="43">
        <v>22216.666666666668</v>
      </c>
      <c r="BP19" s="43">
        <v>13716.666666666666</v>
      </c>
      <c r="BQ19" s="44">
        <v>5100</v>
      </c>
      <c r="BT19" s="45">
        <v>431.44051189264655</v>
      </c>
      <c r="BU19" s="44">
        <v>212.19866603223662</v>
      </c>
      <c r="BV19" s="43">
        <v>14566.666666666666</v>
      </c>
      <c r="BW19" s="44">
        <v>6150</v>
      </c>
    </row>
    <row r="20" spans="1:75" s="15" customFormat="1">
      <c r="A20" s="13" t="s">
        <v>203</v>
      </c>
      <c r="B20" s="14" t="s">
        <v>46</v>
      </c>
      <c r="C20" s="15" t="s">
        <v>38</v>
      </c>
      <c r="D20" s="15" t="s">
        <v>36</v>
      </c>
      <c r="E20" s="15">
        <v>63</v>
      </c>
      <c r="F20" s="16"/>
      <c r="J20" s="19" t="s">
        <v>47</v>
      </c>
      <c r="K20" s="46">
        <v>5.7</v>
      </c>
      <c r="L20" s="15">
        <v>1.4850000000000001</v>
      </c>
      <c r="M20" s="15" t="s">
        <v>283</v>
      </c>
      <c r="N20" s="15">
        <v>10.167999999999999</v>
      </c>
      <c r="O20" s="15">
        <v>10.167999999999999</v>
      </c>
      <c r="P20" s="15" t="s">
        <v>42</v>
      </c>
      <c r="Q20" s="15" t="s">
        <v>42</v>
      </c>
      <c r="R20" s="15">
        <v>0.7</v>
      </c>
      <c r="S20" s="15">
        <v>0.7</v>
      </c>
      <c r="T20" s="14"/>
      <c r="U20" s="14"/>
      <c r="V20" s="14"/>
      <c r="W20" s="14"/>
      <c r="X20" s="14"/>
      <c r="Y20" s="14"/>
      <c r="AF20" s="15">
        <v>5</v>
      </c>
      <c r="AG20" s="18">
        <f>2.45*1</f>
        <v>2.4500000000000002</v>
      </c>
      <c r="AH20" s="15">
        <v>6</v>
      </c>
      <c r="AI20" s="47">
        <f t="shared" si="0"/>
        <v>0.18333333299999999</v>
      </c>
      <c r="AJ20" s="24">
        <f t="shared" si="1"/>
        <v>1.8333333299999999E-4</v>
      </c>
      <c r="AK20" s="47">
        <v>0.12325</v>
      </c>
      <c r="AL20" s="47">
        <f>2.45*0.043396572445298</f>
        <v>0.1063216024909801</v>
      </c>
      <c r="AM20" s="47">
        <v>6.0083333000000003E-2</v>
      </c>
      <c r="AN20" s="47">
        <f>2.45*0.0207213322716256</f>
        <v>5.0767264065482723E-2</v>
      </c>
      <c r="AO20" s="15">
        <v>1008</v>
      </c>
      <c r="AP20" s="18">
        <f>2.45*71.5735829603197</f>
        <v>175.35527825278328</v>
      </c>
      <c r="AQ20" s="15">
        <v>847</v>
      </c>
      <c r="AR20" s="18">
        <f>2.45*77.9601037568433</f>
        <v>191.00225420426608</v>
      </c>
      <c r="AS20" s="15">
        <v>114</v>
      </c>
      <c r="AT20" s="18">
        <f>2.45*9.80382830909764</f>
        <v>24.019379357289218</v>
      </c>
      <c r="AU20" s="48">
        <v>111.53961894741389</v>
      </c>
      <c r="AV20" s="49">
        <f>2.45*12.4497951537753</f>
        <v>30.501998126749488</v>
      </c>
      <c r="AW20" s="50">
        <v>0.17512658305099998</v>
      </c>
      <c r="AX20" s="21">
        <v>2.0752172067910579E-2</v>
      </c>
      <c r="AY20" s="51">
        <v>0.12423599999999999</v>
      </c>
      <c r="AZ20" s="51">
        <v>5.0890583051000006E-2</v>
      </c>
      <c r="BA20" s="51">
        <v>1.4050499999999999E-2</v>
      </c>
      <c r="BB20" s="51">
        <v>6.7016720679105787E-3</v>
      </c>
      <c r="BC20" s="52">
        <v>0.40962831265494715</v>
      </c>
      <c r="BD20" s="51">
        <v>0.47697036176012092</v>
      </c>
      <c r="BE20" s="21">
        <f t="shared" si="2"/>
        <v>0.48749154563894526</v>
      </c>
      <c r="BF20" s="47"/>
      <c r="BI20" s="53"/>
      <c r="BJ20" s="23">
        <f>BF21*100</f>
        <v>53.648380250549309</v>
      </c>
      <c r="BK20" s="40">
        <f>BG21*100</f>
        <v>81.784583956199626</v>
      </c>
      <c r="BL20" s="40">
        <f>BH21*100</f>
        <v>156.83948282566354</v>
      </c>
      <c r="BN20" s="43">
        <v>23966.666666666668</v>
      </c>
      <c r="BO20" s="43">
        <v>19433.333333333332</v>
      </c>
      <c r="BP20" s="43">
        <v>16900</v>
      </c>
      <c r="BQ20" s="43">
        <v>6733.333333333333</v>
      </c>
      <c r="BT20" s="45">
        <v>811.66666666666663</v>
      </c>
      <c r="BU20" s="44">
        <v>271.18549305555558</v>
      </c>
      <c r="BV20" s="43">
        <v>23350</v>
      </c>
      <c r="BW20" s="44">
        <v>7416.666666666667</v>
      </c>
    </row>
    <row r="21" spans="1:75" s="15" customFormat="1">
      <c r="A21" s="13" t="s">
        <v>203</v>
      </c>
      <c r="B21" s="14" t="s">
        <v>46</v>
      </c>
      <c r="C21" s="15" t="s">
        <v>35</v>
      </c>
      <c r="D21" s="15" t="s">
        <v>36</v>
      </c>
      <c r="E21" s="15">
        <v>63</v>
      </c>
      <c r="F21" s="16"/>
      <c r="J21" s="19" t="s">
        <v>48</v>
      </c>
      <c r="K21" s="46">
        <v>6.3</v>
      </c>
      <c r="L21" s="15">
        <v>1.1706666999999999</v>
      </c>
      <c r="M21" s="15" t="s">
        <v>283</v>
      </c>
      <c r="N21" s="15">
        <v>225.77332999999999</v>
      </c>
      <c r="O21" s="15">
        <v>225.77332999999999</v>
      </c>
      <c r="P21" s="15" t="s">
        <v>42</v>
      </c>
      <c r="Q21" s="15" t="s">
        <v>42</v>
      </c>
      <c r="R21" s="15">
        <v>6.1</v>
      </c>
      <c r="S21" s="15">
        <v>6.1</v>
      </c>
      <c r="T21" s="14"/>
      <c r="U21" s="14"/>
      <c r="V21" s="14"/>
      <c r="W21" s="14"/>
      <c r="X21" s="14"/>
      <c r="Y21" s="14"/>
      <c r="AF21" s="15">
        <v>31</v>
      </c>
      <c r="AG21" s="18">
        <f>2.45*6</f>
        <v>14.700000000000001</v>
      </c>
      <c r="AH21" s="15">
        <v>6</v>
      </c>
      <c r="AI21" s="47">
        <f t="shared" si="0"/>
        <v>1.8949967000000001</v>
      </c>
      <c r="AJ21" s="24">
        <f t="shared" si="1"/>
        <v>1.8949967000000002E-3</v>
      </c>
      <c r="AK21" s="47">
        <v>1.3616667</v>
      </c>
      <c r="AL21" s="47">
        <f>2.45*0.228070408232</f>
        <v>0.55877250016840008</v>
      </c>
      <c r="AM21" s="47">
        <v>0.53332999999999997</v>
      </c>
      <c r="AN21" s="47">
        <f>2.45*0.11295033323447</f>
        <v>0.2767283164244515</v>
      </c>
      <c r="AO21" s="15">
        <v>5867</v>
      </c>
      <c r="AP21" s="18">
        <f>2.45*382.680603695098</f>
        <v>937.56747905299017</v>
      </c>
      <c r="AQ21" s="15">
        <v>4017</v>
      </c>
      <c r="AR21" s="18">
        <f>2.45*292.593764648379</f>
        <v>716.85472338852867</v>
      </c>
      <c r="AS21" s="15">
        <v>50</v>
      </c>
      <c r="AT21" s="18">
        <f>2.45*5.48853065827269</f>
        <v>13.446900112768091</v>
      </c>
      <c r="AU21" s="48">
        <v>264.23737311093248</v>
      </c>
      <c r="AV21" s="49">
        <f>2.45*29.3563236761228</f>
        <v>71.92299300650086</v>
      </c>
      <c r="AW21" s="50">
        <v>10.131285138900001</v>
      </c>
      <c r="AX21" s="21">
        <v>0.20900905320125363</v>
      </c>
      <c r="AY21" s="51">
        <v>7.988898528900001</v>
      </c>
      <c r="AZ21" s="51">
        <v>2.1423866099999995</v>
      </c>
      <c r="BA21" s="51">
        <v>6.8083335000000009E-2</v>
      </c>
      <c r="BB21" s="51">
        <v>0.1409257182012536</v>
      </c>
      <c r="BC21" s="52">
        <v>0.26817046207933082</v>
      </c>
      <c r="BD21" s="51">
        <v>2.0699003390661397</v>
      </c>
      <c r="BE21" s="21">
        <f t="shared" si="2"/>
        <v>0.39167440901653833</v>
      </c>
      <c r="BF21" s="47">
        <f>(AI21-AI22)/AI22</f>
        <v>0.5364838025054931</v>
      </c>
      <c r="BG21" s="47">
        <f>(AW21-AW22)/AW22</f>
        <v>0.8178458395619963</v>
      </c>
      <c r="BH21" s="47">
        <f>(AX21-AX22)/AX22</f>
        <v>1.5683948282566353</v>
      </c>
      <c r="BI21" s="53"/>
      <c r="BJ21" s="23">
        <f>BF23*100</f>
        <v>-17.488789237668161</v>
      </c>
      <c r="BK21" s="40">
        <f>BG23*100</f>
        <v>-17.537177568188007</v>
      </c>
      <c r="BL21" s="40">
        <f>BH23*100</f>
        <v>5.9221229901934436</v>
      </c>
      <c r="BN21" s="43">
        <v>27833.333333333332</v>
      </c>
      <c r="BO21" s="43">
        <v>21416.666666666668</v>
      </c>
      <c r="BP21" s="43">
        <v>15033.333333333334</v>
      </c>
      <c r="BQ21" s="44">
        <v>8083.333333333333</v>
      </c>
      <c r="BT21" s="45">
        <v>75.007351535764826</v>
      </c>
      <c r="BU21" s="44">
        <v>173.77178831625483</v>
      </c>
      <c r="BV21" s="43">
        <v>4716.666666666667</v>
      </c>
      <c r="BW21" s="44">
        <v>3833.3333333333335</v>
      </c>
    </row>
    <row r="22" spans="1:75" s="15" customFormat="1">
      <c r="A22" s="13" t="s">
        <v>203</v>
      </c>
      <c r="B22" s="14" t="s">
        <v>46</v>
      </c>
      <c r="C22" s="15" t="s">
        <v>38</v>
      </c>
      <c r="D22" s="15" t="s">
        <v>36</v>
      </c>
      <c r="E22" s="15">
        <v>63</v>
      </c>
      <c r="F22" s="16"/>
      <c r="J22" s="19" t="s">
        <v>48</v>
      </c>
      <c r="K22" s="46">
        <v>6.3</v>
      </c>
      <c r="L22" s="15">
        <v>1.1706666999999999</v>
      </c>
      <c r="M22" s="15" t="s">
        <v>283</v>
      </c>
      <c r="N22" s="15">
        <v>225.77332999999999</v>
      </c>
      <c r="O22" s="15">
        <v>225.77332999999999</v>
      </c>
      <c r="P22" s="15" t="s">
        <v>42</v>
      </c>
      <c r="Q22" s="15" t="s">
        <v>42</v>
      </c>
      <c r="R22" s="15">
        <v>6.1</v>
      </c>
      <c r="S22" s="15">
        <v>6.1</v>
      </c>
      <c r="T22" s="14"/>
      <c r="U22" s="14"/>
      <c r="V22" s="14"/>
      <c r="W22" s="14"/>
      <c r="X22" s="14"/>
      <c r="Y22" s="14"/>
      <c r="AF22" s="15">
        <v>0</v>
      </c>
      <c r="AG22" s="18">
        <f>2.45*0</f>
        <v>0</v>
      </c>
      <c r="AH22" s="15">
        <v>6</v>
      </c>
      <c r="AI22" s="47">
        <f t="shared" si="0"/>
        <v>1.2333333399999999</v>
      </c>
      <c r="AJ22" s="24">
        <f t="shared" si="1"/>
        <v>1.23333334E-3</v>
      </c>
      <c r="AK22" s="47">
        <v>0.97166666999999995</v>
      </c>
      <c r="AL22" s="47">
        <f>2.45*0.145909027974435</f>
        <v>0.3574771185373658</v>
      </c>
      <c r="AM22" s="47">
        <v>0.26166666999999999</v>
      </c>
      <c r="AN22" s="47">
        <f>2.45*0.0177795138041261</f>
        <v>4.3559808820108945E-2</v>
      </c>
      <c r="AO22" s="15">
        <v>4717</v>
      </c>
      <c r="AP22" s="18">
        <f>2.45*256.146659379175</f>
        <v>627.55931547897876</v>
      </c>
      <c r="AQ22" s="15">
        <v>3783</v>
      </c>
      <c r="AR22" s="18">
        <f>2.45*280.97054017182</f>
        <v>688.37782342095909</v>
      </c>
      <c r="AS22" s="15">
        <v>48</v>
      </c>
      <c r="AT22" s="18">
        <f>2.45*6.02824067873378</f>
        <v>14.769189662897761</v>
      </c>
      <c r="AU22" s="48">
        <v>132.75403535022392</v>
      </c>
      <c r="AV22" s="49">
        <f>2.45*18.9435734827792</f>
        <v>46.411755032809047</v>
      </c>
      <c r="AW22" s="50">
        <v>5.5732366950000003</v>
      </c>
      <c r="AX22" s="21">
        <v>8.1377306519155368E-2</v>
      </c>
      <c r="AY22" s="51">
        <v>4.58335168239</v>
      </c>
      <c r="AZ22" s="51">
        <v>0.98988501261000006</v>
      </c>
      <c r="BA22" s="51">
        <v>4.664000016E-2</v>
      </c>
      <c r="BB22" s="51">
        <v>3.4737306359155375E-2</v>
      </c>
      <c r="BC22" s="52">
        <v>0.21597404720508423</v>
      </c>
      <c r="BD22" s="51">
        <v>0.74479644596886674</v>
      </c>
      <c r="BE22" s="21">
        <f t="shared" si="2"/>
        <v>0.26929674350155491</v>
      </c>
      <c r="BF22" s="47"/>
      <c r="BI22" s="53"/>
      <c r="BJ22" s="23">
        <f>BF25*100</f>
        <v>44.885929359823393</v>
      </c>
      <c r="BK22" s="40">
        <f>BG25*100</f>
        <v>34.226616490937822</v>
      </c>
      <c r="BL22" s="40">
        <f>BH25*100</f>
        <v>254.16159836681734</v>
      </c>
      <c r="BN22" s="43">
        <v>29166.666666666668</v>
      </c>
      <c r="BO22" s="43">
        <v>26333.333333333332</v>
      </c>
      <c r="BP22" s="43">
        <v>16066.666666666666</v>
      </c>
      <c r="BQ22" s="44">
        <v>8400</v>
      </c>
      <c r="BT22" s="45">
        <v>71.245909938363454</v>
      </c>
      <c r="BU22" s="44">
        <v>98.372945527852536</v>
      </c>
      <c r="BV22" s="43">
        <v>5000</v>
      </c>
      <c r="BW22" s="44">
        <v>4466.666666666667</v>
      </c>
    </row>
    <row r="23" spans="1:75" s="15" customFormat="1">
      <c r="A23" s="13" t="s">
        <v>203</v>
      </c>
      <c r="B23" s="14" t="s">
        <v>46</v>
      </c>
      <c r="C23" s="15" t="s">
        <v>35</v>
      </c>
      <c r="D23" s="15" t="s">
        <v>36</v>
      </c>
      <c r="E23" s="15">
        <v>63</v>
      </c>
      <c r="F23" s="16"/>
      <c r="J23" s="19" t="s">
        <v>48</v>
      </c>
      <c r="K23" s="46">
        <v>5.7</v>
      </c>
      <c r="L23" s="15">
        <v>3.3983333</v>
      </c>
      <c r="M23" s="15" t="s">
        <v>283</v>
      </c>
      <c r="N23" s="15">
        <v>417.21600000000001</v>
      </c>
      <c r="O23" s="15">
        <v>417.21600000000001</v>
      </c>
      <c r="P23" s="15" t="s">
        <v>42</v>
      </c>
      <c r="Q23" s="15" t="s">
        <v>42</v>
      </c>
      <c r="R23" s="15">
        <v>8.3000000000000007</v>
      </c>
      <c r="S23" s="15">
        <v>8.3000000000000007</v>
      </c>
      <c r="T23" s="14"/>
      <c r="U23" s="14"/>
      <c r="V23" s="14"/>
      <c r="W23" s="14"/>
      <c r="X23" s="14"/>
      <c r="Y23" s="14"/>
      <c r="AF23" s="15">
        <v>24</v>
      </c>
      <c r="AG23" s="18">
        <f>2.45*9</f>
        <v>22.05</v>
      </c>
      <c r="AH23" s="15">
        <v>6</v>
      </c>
      <c r="AI23" s="47">
        <f t="shared" si="0"/>
        <v>5.52</v>
      </c>
      <c r="AJ23" s="24">
        <f t="shared" si="1"/>
        <v>5.5199999999999997E-3</v>
      </c>
      <c r="AK23" s="47">
        <v>4.0199999999999996</v>
      </c>
      <c r="AL23" s="47">
        <f>2.45*0.465739555259518</f>
        <v>1.1410619103858191</v>
      </c>
      <c r="AM23" s="47">
        <v>1.5</v>
      </c>
      <c r="AN23" s="47">
        <f>2.45*0.30862058691323</f>
        <v>0.75612043793741357</v>
      </c>
      <c r="AO23" s="15">
        <v>6100</v>
      </c>
      <c r="AP23" s="18">
        <f>2.45*432.820209016785</f>
        <v>1060.4095120911234</v>
      </c>
      <c r="AQ23" s="15">
        <v>5250</v>
      </c>
      <c r="AR23" s="18">
        <f>2.45*624.366345452198</f>
        <v>1529.6975463578851</v>
      </c>
      <c r="AS23" s="15">
        <v>47</v>
      </c>
      <c r="AT23" s="18">
        <f>2.45*2.56663429281192</f>
        <v>6.288254017389205</v>
      </c>
      <c r="AU23" s="48">
        <v>196.50266519420691</v>
      </c>
      <c r="AV23" s="49">
        <f>2.45*33.9285478985814</f>
        <v>83.124942351524439</v>
      </c>
      <c r="AW23" s="50">
        <v>32.396999999999991</v>
      </c>
      <c r="AX23" s="21">
        <v>0.48369399779131039</v>
      </c>
      <c r="AY23" s="51">
        <v>24.521999999999995</v>
      </c>
      <c r="AZ23" s="51">
        <v>7.875</v>
      </c>
      <c r="BA23" s="51">
        <v>0.18893999999999997</v>
      </c>
      <c r="BB23" s="51">
        <v>0.2947539977913104</v>
      </c>
      <c r="BC23" s="52">
        <v>0.3211402006361635</v>
      </c>
      <c r="BD23" s="51">
        <v>1.5600402127199664</v>
      </c>
      <c r="BE23" s="21">
        <f t="shared" si="2"/>
        <v>0.37313432835820898</v>
      </c>
      <c r="BF23" s="47">
        <f>(AI23-AI24)/AI24</f>
        <v>-0.17488789237668162</v>
      </c>
      <c r="BG23" s="47">
        <f>(AW23-AW24)/AW24</f>
        <v>-0.17537177568188006</v>
      </c>
      <c r="BH23" s="47">
        <f>(AX23-AX24)/AX24</f>
        <v>5.9221229901934437E-2</v>
      </c>
      <c r="BI23" s="53"/>
      <c r="BN23" s="43">
        <v>30166.666666666668</v>
      </c>
      <c r="BO23" s="43">
        <v>10566.666666666666</v>
      </c>
      <c r="BP23" s="43">
        <v>11450</v>
      </c>
      <c r="BQ23" s="44">
        <v>8383.3333333333339</v>
      </c>
      <c r="BT23" s="45">
        <v>80.083838853176928</v>
      </c>
      <c r="BU23" s="44">
        <v>202.39653988421696</v>
      </c>
      <c r="BV23" s="43">
        <v>5666.666666666667</v>
      </c>
      <c r="BW23" s="44">
        <v>6183.333333333333</v>
      </c>
    </row>
    <row r="24" spans="1:75" s="15" customFormat="1">
      <c r="A24" s="13" t="s">
        <v>203</v>
      </c>
      <c r="B24" s="14" t="s">
        <v>46</v>
      </c>
      <c r="C24" s="15" t="s">
        <v>38</v>
      </c>
      <c r="D24" s="15" t="s">
        <v>36</v>
      </c>
      <c r="E24" s="15">
        <v>63</v>
      </c>
      <c r="F24" s="16"/>
      <c r="J24" s="19" t="s">
        <v>48</v>
      </c>
      <c r="K24" s="46">
        <v>5.7</v>
      </c>
      <c r="L24" s="15">
        <v>3.3983333</v>
      </c>
      <c r="M24" s="15" t="s">
        <v>283</v>
      </c>
      <c r="N24" s="15">
        <v>417.21600000000001</v>
      </c>
      <c r="O24" s="15">
        <v>417.21600000000001</v>
      </c>
      <c r="P24" s="15" t="s">
        <v>42</v>
      </c>
      <c r="Q24" s="15" t="s">
        <v>42</v>
      </c>
      <c r="R24" s="15">
        <v>8.3000000000000007</v>
      </c>
      <c r="S24" s="15">
        <v>8.3000000000000007</v>
      </c>
      <c r="T24" s="14"/>
      <c r="U24" s="14"/>
      <c r="V24" s="14"/>
      <c r="W24" s="14"/>
      <c r="X24" s="14"/>
      <c r="Y24" s="14"/>
      <c r="AF24" s="15">
        <v>1</v>
      </c>
      <c r="AG24" s="18">
        <f>2.45*0</f>
        <v>0</v>
      </c>
      <c r="AH24" s="15">
        <v>6</v>
      </c>
      <c r="AI24" s="47">
        <f t="shared" si="0"/>
        <v>6.6899999999999995</v>
      </c>
      <c r="AJ24" s="24">
        <f t="shared" si="1"/>
        <v>6.6899999999999998E-3</v>
      </c>
      <c r="AK24" s="47">
        <v>4.5549999999999997</v>
      </c>
      <c r="AL24" s="47">
        <f>2.45*0.580745210914391</f>
        <v>1.4228257667402582</v>
      </c>
      <c r="AM24" s="47">
        <v>2.1349999999999998</v>
      </c>
      <c r="AN24" s="47">
        <f>2.45*0.318724018548964</f>
        <v>0.78087384544496186</v>
      </c>
      <c r="AO24" s="15">
        <v>6250</v>
      </c>
      <c r="AP24" s="18">
        <f>2.45*405.585995813465</f>
        <v>993.68568974298933</v>
      </c>
      <c r="AQ24" s="15">
        <v>5067</v>
      </c>
      <c r="AR24" s="18">
        <f>2.45*598.145281497546</f>
        <v>1465.4559396689876</v>
      </c>
      <c r="AS24" s="15">
        <v>53</v>
      </c>
      <c r="AT24" s="18">
        <f>2.45*5.74277720125102</f>
        <v>14.069804143064999</v>
      </c>
      <c r="AU24" s="48">
        <v>100.81292192777818</v>
      </c>
      <c r="AV24" s="49">
        <f>2.45*11.5687537798132</f>
        <v>28.343446760542342</v>
      </c>
      <c r="AW24" s="50">
        <v>39.286794999999998</v>
      </c>
      <c r="AX24" s="21">
        <v>0.4566505883158064</v>
      </c>
      <c r="AY24" s="51">
        <v>28.46875</v>
      </c>
      <c r="AZ24" s="51">
        <v>10.818044999999998</v>
      </c>
      <c r="BA24" s="51">
        <v>0.24141499999999999</v>
      </c>
      <c r="BB24" s="51">
        <v>0.21523558831580639</v>
      </c>
      <c r="BC24" s="52">
        <v>0.3799971899012074</v>
      </c>
      <c r="BD24" s="51">
        <v>0.89155847116296172</v>
      </c>
      <c r="BE24" s="21">
        <f t="shared" si="2"/>
        <v>0.4687156970362239</v>
      </c>
      <c r="BF24" s="47"/>
      <c r="BI24" s="53"/>
      <c r="BJ24" s="23"/>
      <c r="BK24" s="40"/>
      <c r="BL24" s="40"/>
      <c r="BN24" s="43">
        <v>28000</v>
      </c>
      <c r="BO24" s="43">
        <v>10433.333333333334</v>
      </c>
      <c r="BP24" s="43">
        <v>12683.333333333334</v>
      </c>
      <c r="BQ24" s="44">
        <v>7000</v>
      </c>
      <c r="BT24" s="45">
        <v>117.72136591771151</v>
      </c>
      <c r="BU24" s="44">
        <v>199.62834099956089</v>
      </c>
      <c r="BV24" s="43">
        <v>5816.666666666667</v>
      </c>
      <c r="BW24" s="44">
        <v>5433.333333333333</v>
      </c>
    </row>
    <row r="25" spans="1:75" s="15" customFormat="1">
      <c r="A25" s="13" t="s">
        <v>203</v>
      </c>
      <c r="B25" s="14" t="s">
        <v>46</v>
      </c>
      <c r="C25" s="15" t="s">
        <v>35</v>
      </c>
      <c r="D25" s="15" t="s">
        <v>36</v>
      </c>
      <c r="E25" s="15">
        <v>63</v>
      </c>
      <c r="F25" s="16"/>
      <c r="J25" s="19" t="s">
        <v>48</v>
      </c>
      <c r="K25" s="46">
        <v>7.2</v>
      </c>
      <c r="L25" s="15">
        <v>1.3003332999999999</v>
      </c>
      <c r="M25" s="27" t="s">
        <v>284</v>
      </c>
      <c r="N25" s="15">
        <v>52.042666670000003</v>
      </c>
      <c r="O25" s="15">
        <v>52.042666670000003</v>
      </c>
      <c r="P25" s="15" t="s">
        <v>42</v>
      </c>
      <c r="Q25" s="15" t="s">
        <v>42</v>
      </c>
      <c r="R25" s="15">
        <v>0.4</v>
      </c>
      <c r="S25" s="15">
        <v>0.4</v>
      </c>
      <c r="T25" s="14"/>
      <c r="U25" s="14"/>
      <c r="V25" s="14"/>
      <c r="W25" s="14"/>
      <c r="X25" s="14"/>
      <c r="Y25" s="14"/>
      <c r="AF25" s="15">
        <v>16</v>
      </c>
      <c r="AG25" s="18">
        <f>2.45*4</f>
        <v>9.8000000000000007</v>
      </c>
      <c r="AH25" s="15">
        <v>6</v>
      </c>
      <c r="AI25" s="47">
        <f t="shared" si="0"/>
        <v>3.2816662999999999</v>
      </c>
      <c r="AJ25" s="24">
        <f t="shared" si="1"/>
        <v>3.2816663E-3</v>
      </c>
      <c r="AK25" s="47">
        <v>2.3383332999999999</v>
      </c>
      <c r="AL25" s="47">
        <f>2.45*0.24216270930467</f>
        <v>0.59329863779644154</v>
      </c>
      <c r="AM25" s="47">
        <v>0.94333299999999998</v>
      </c>
      <c r="AN25" s="47">
        <f>2.45*0.190921740802642</f>
        <v>0.46775826496647288</v>
      </c>
      <c r="AO25" s="15">
        <v>3967</v>
      </c>
      <c r="AP25" s="18">
        <f>2.45*138.242942355518</f>
        <v>338.69520877101917</v>
      </c>
      <c r="AQ25" s="15">
        <v>3317</v>
      </c>
      <c r="AR25" s="18">
        <f>2.45*311.35902820449</f>
        <v>762.82961910100062</v>
      </c>
      <c r="AS25" s="15">
        <v>30</v>
      </c>
      <c r="AT25" s="18">
        <f>2.45*4.19070521091098</f>
        <v>10.267227766731901</v>
      </c>
      <c r="AU25" s="48">
        <v>208.90762684548403</v>
      </c>
      <c r="AV25" s="49">
        <f>2.45*24.1691584477728</f>
        <v>59.214438197043371</v>
      </c>
      <c r="AW25" s="50">
        <v>12.405203762099999</v>
      </c>
      <c r="AX25" s="21">
        <v>0.26721945735503094</v>
      </c>
      <c r="AY25" s="51">
        <v>9.2761682010999991</v>
      </c>
      <c r="AZ25" s="51">
        <v>3.1290355609999998</v>
      </c>
      <c r="BA25" s="51">
        <v>7.0149998999999991E-2</v>
      </c>
      <c r="BB25" s="51">
        <v>0.19706945835503098</v>
      </c>
      <c r="BC25" s="52">
        <v>0.33731983866236365</v>
      </c>
      <c r="BD25" s="51">
        <v>2.8092581776805301</v>
      </c>
      <c r="BE25" s="21">
        <f t="shared" si="2"/>
        <v>0.40342110339873277</v>
      </c>
      <c r="BF25" s="47">
        <f>(AI25-AI26)/AI26</f>
        <v>0.4488592935982339</v>
      </c>
      <c r="BG25" s="47">
        <f>(AW25-AW26)/AW26</f>
        <v>0.34226616490937822</v>
      </c>
      <c r="BH25" s="47">
        <f>(AX25-AX26)/AX26</f>
        <v>2.5416159836681733</v>
      </c>
      <c r="BI25" s="53"/>
      <c r="BN25" s="43">
        <v>30833.333333333332</v>
      </c>
      <c r="BO25" s="43">
        <v>25083.333333333332</v>
      </c>
      <c r="BP25" s="43">
        <v>13766.666666666666</v>
      </c>
      <c r="BQ25" s="44">
        <v>8150</v>
      </c>
      <c r="BT25" s="45">
        <v>198.89143777148084</v>
      </c>
      <c r="BU25" s="44">
        <v>395</v>
      </c>
      <c r="BV25" s="43">
        <v>3000</v>
      </c>
      <c r="BW25" s="44">
        <v>2733.3333333333335</v>
      </c>
    </row>
    <row r="26" spans="1:75" s="15" customFormat="1">
      <c r="A26" s="13" t="s">
        <v>203</v>
      </c>
      <c r="B26" s="14" t="s">
        <v>46</v>
      </c>
      <c r="C26" s="15" t="s">
        <v>38</v>
      </c>
      <c r="D26" s="15" t="s">
        <v>36</v>
      </c>
      <c r="E26" s="15">
        <v>63</v>
      </c>
      <c r="F26" s="16"/>
      <c r="J26" s="19" t="s">
        <v>48</v>
      </c>
      <c r="K26" s="46">
        <v>7.2</v>
      </c>
      <c r="L26" s="15">
        <v>1.3003332999999999</v>
      </c>
      <c r="M26" s="27" t="s">
        <v>284</v>
      </c>
      <c r="N26" s="15">
        <v>52.042666670000003</v>
      </c>
      <c r="O26" s="15">
        <v>52.042666670000003</v>
      </c>
      <c r="P26" s="15" t="s">
        <v>42</v>
      </c>
      <c r="Q26" s="15" t="s">
        <v>42</v>
      </c>
      <c r="R26" s="15">
        <v>0.4</v>
      </c>
      <c r="S26" s="15">
        <v>0.4</v>
      </c>
      <c r="T26" s="14"/>
      <c r="U26" s="14"/>
      <c r="V26" s="14"/>
      <c r="W26" s="14"/>
      <c r="X26" s="14"/>
      <c r="Y26" s="14"/>
      <c r="AF26" s="15">
        <v>0</v>
      </c>
      <c r="AG26" s="18">
        <f>2.45*0</f>
        <v>0</v>
      </c>
      <c r="AH26" s="15">
        <v>6</v>
      </c>
      <c r="AI26" s="47">
        <f t="shared" si="0"/>
        <v>2.2650000000000001</v>
      </c>
      <c r="AJ26" s="24">
        <f t="shared" si="1"/>
        <v>2.2650000000000001E-3</v>
      </c>
      <c r="AK26" s="47">
        <v>1.7350000000000001</v>
      </c>
      <c r="AL26" s="47">
        <f>2.45*0.234616708697398</f>
        <v>0.57481093630862512</v>
      </c>
      <c r="AM26" s="47">
        <v>0.53</v>
      </c>
      <c r="AN26" s="47">
        <f>2.45*0.0952540462832594</f>
        <v>0.23337241339398554</v>
      </c>
      <c r="AO26" s="15">
        <v>4217</v>
      </c>
      <c r="AP26" s="18">
        <f>2.45*443.784231856478</f>
        <v>1087.2713680483712</v>
      </c>
      <c r="AQ26" s="15">
        <v>3633</v>
      </c>
      <c r="AR26" s="18">
        <f>2.45*448.454134902457</f>
        <v>1098.7126305110196</v>
      </c>
      <c r="AS26" s="15">
        <v>24</v>
      </c>
      <c r="AT26" s="18">
        <f>2.45*1.23428991288098</f>
        <v>3.0240102865584011</v>
      </c>
      <c r="AU26" s="48">
        <v>63.794866922325212</v>
      </c>
      <c r="AV26" s="49">
        <f>2.45*9.87471804582241</f>
        <v>24.193059212264906</v>
      </c>
      <c r="AW26" s="50">
        <v>9.2419849999999997</v>
      </c>
      <c r="AX26" s="21">
        <v>7.5451279468832358E-2</v>
      </c>
      <c r="AY26" s="51">
        <v>7.3164949999999997</v>
      </c>
      <c r="AZ26" s="51">
        <v>1.9254899999999999</v>
      </c>
      <c r="BA26" s="51">
        <v>4.1639999999999996E-2</v>
      </c>
      <c r="BB26" s="51">
        <v>3.3811279468832361E-2</v>
      </c>
      <c r="BC26" s="52">
        <v>0.2631710949026822</v>
      </c>
      <c r="BD26" s="51">
        <v>0.81199038109587807</v>
      </c>
      <c r="BE26" s="21">
        <f t="shared" si="2"/>
        <v>0.30547550432276654</v>
      </c>
      <c r="BF26" s="47"/>
      <c r="BI26" s="53"/>
      <c r="BJ26" s="23"/>
      <c r="BK26" s="27"/>
      <c r="BL26" s="27"/>
      <c r="BN26" s="43">
        <v>34500</v>
      </c>
      <c r="BO26" s="43">
        <v>23583.333333333332</v>
      </c>
      <c r="BP26" s="43">
        <v>14216.666666666666</v>
      </c>
      <c r="BQ26" s="44">
        <v>7700</v>
      </c>
      <c r="BT26" s="45">
        <v>214.27799077134569</v>
      </c>
      <c r="BU26" s="44">
        <v>430</v>
      </c>
      <c r="BV26" s="43">
        <v>3416.6666666666665</v>
      </c>
      <c r="BW26" s="44">
        <v>2675</v>
      </c>
    </row>
    <row r="27" spans="1:75" s="27" customFormat="1">
      <c r="A27" s="54" t="s">
        <v>204</v>
      </c>
      <c r="B27" s="26" t="s">
        <v>49</v>
      </c>
      <c r="C27" s="27" t="s">
        <v>35</v>
      </c>
      <c r="D27" s="27" t="s">
        <v>36</v>
      </c>
      <c r="E27" s="27">
        <v>58</v>
      </c>
      <c r="F27" s="28" t="s">
        <v>50</v>
      </c>
      <c r="J27" s="27" t="s">
        <v>51</v>
      </c>
      <c r="K27" s="27">
        <v>7.1</v>
      </c>
      <c r="M27" s="27" t="s">
        <v>284</v>
      </c>
      <c r="T27" s="26"/>
      <c r="U27" s="26"/>
      <c r="V27" s="26"/>
      <c r="W27" s="26"/>
      <c r="X27" s="26"/>
      <c r="Y27" s="26"/>
      <c r="AF27" s="27">
        <v>76</v>
      </c>
      <c r="AG27" s="27" t="s">
        <v>132</v>
      </c>
      <c r="AH27" s="27">
        <v>3</v>
      </c>
      <c r="AJ27" s="31"/>
      <c r="AV27" s="56"/>
      <c r="AW27" s="57"/>
      <c r="AX27" s="37"/>
      <c r="AY27" s="38"/>
      <c r="AZ27" s="38"/>
      <c r="BA27" s="38"/>
      <c r="BB27" s="38"/>
      <c r="BC27" s="39"/>
      <c r="BD27" s="38"/>
      <c r="BE27" s="37"/>
      <c r="BI27" s="22"/>
      <c r="BJ27" s="23"/>
      <c r="BN27" s="55"/>
      <c r="BO27" s="55"/>
      <c r="BP27" s="55"/>
      <c r="BQ27" s="55"/>
      <c r="BR27" s="55"/>
      <c r="BS27" s="55"/>
      <c r="BT27" s="55"/>
      <c r="BU27" s="55"/>
      <c r="BV27" s="55"/>
      <c r="BW27" s="55"/>
    </row>
    <row r="28" spans="1:75" s="27" customFormat="1">
      <c r="A28" s="54" t="s">
        <v>204</v>
      </c>
      <c r="B28" s="26" t="s">
        <v>49</v>
      </c>
      <c r="C28" s="27" t="s">
        <v>35</v>
      </c>
      <c r="D28" s="27" t="s">
        <v>36</v>
      </c>
      <c r="E28" s="27">
        <v>58</v>
      </c>
      <c r="F28" s="28" t="s">
        <v>37</v>
      </c>
      <c r="J28" s="27" t="s">
        <v>51</v>
      </c>
      <c r="K28" s="27">
        <v>7.1</v>
      </c>
      <c r="M28" s="27" t="s">
        <v>284</v>
      </c>
      <c r="T28" s="26"/>
      <c r="U28" s="26"/>
      <c r="V28" s="26"/>
      <c r="W28" s="26"/>
      <c r="X28" s="26"/>
      <c r="Y28" s="26"/>
      <c r="AF28" s="27">
        <v>47</v>
      </c>
      <c r="AG28" s="27" t="s">
        <v>132</v>
      </c>
      <c r="AH28" s="27">
        <v>3</v>
      </c>
      <c r="AJ28" s="31"/>
      <c r="AV28" s="56"/>
      <c r="AW28" s="57"/>
      <c r="AX28" s="37"/>
      <c r="AY28" s="38"/>
      <c r="AZ28" s="38"/>
      <c r="BA28" s="38"/>
      <c r="BB28" s="38"/>
      <c r="BC28" s="39"/>
      <c r="BD28" s="38"/>
      <c r="BE28" s="37"/>
      <c r="BI28" s="22"/>
      <c r="BJ28" s="23"/>
    </row>
    <row r="29" spans="1:75" s="27" customFormat="1">
      <c r="A29" s="54" t="s">
        <v>204</v>
      </c>
      <c r="B29" s="26" t="s">
        <v>49</v>
      </c>
      <c r="C29" s="27" t="s">
        <v>35</v>
      </c>
      <c r="D29" s="27" t="s">
        <v>36</v>
      </c>
      <c r="E29" s="27">
        <v>58</v>
      </c>
      <c r="F29" s="28" t="s">
        <v>52</v>
      </c>
      <c r="J29" s="27" t="s">
        <v>51</v>
      </c>
      <c r="K29" s="27">
        <v>7.1</v>
      </c>
      <c r="M29" s="27" t="s">
        <v>284</v>
      </c>
      <c r="T29" s="26"/>
      <c r="U29" s="26"/>
      <c r="V29" s="26"/>
      <c r="W29" s="26"/>
      <c r="X29" s="26"/>
      <c r="Y29" s="26"/>
      <c r="AF29" s="27">
        <v>13.7</v>
      </c>
      <c r="AG29" s="27" t="s">
        <v>132</v>
      </c>
      <c r="AH29" s="27">
        <v>3</v>
      </c>
      <c r="AJ29" s="31"/>
      <c r="AV29" s="56"/>
      <c r="AW29" s="57"/>
      <c r="AX29" s="37"/>
      <c r="AY29" s="38"/>
      <c r="AZ29" s="38"/>
      <c r="BA29" s="38"/>
      <c r="BB29" s="38"/>
      <c r="BC29" s="39"/>
      <c r="BD29" s="38"/>
      <c r="BE29" s="37"/>
      <c r="BI29" s="22"/>
      <c r="BJ29" s="23"/>
    </row>
    <row r="30" spans="1:75" s="27" customFormat="1">
      <c r="A30" s="54" t="s">
        <v>204</v>
      </c>
      <c r="B30" s="26" t="s">
        <v>49</v>
      </c>
      <c r="C30" s="27" t="s">
        <v>35</v>
      </c>
      <c r="D30" s="27" t="s">
        <v>36</v>
      </c>
      <c r="E30" s="27">
        <v>58</v>
      </c>
      <c r="F30" s="28" t="s">
        <v>39</v>
      </c>
      <c r="J30" s="27" t="s">
        <v>53</v>
      </c>
      <c r="K30" s="27">
        <v>5</v>
      </c>
      <c r="M30" s="15" t="s">
        <v>283</v>
      </c>
      <c r="T30" s="26"/>
      <c r="U30" s="26"/>
      <c r="V30" s="26"/>
      <c r="W30" s="26"/>
      <c r="X30" s="26"/>
      <c r="Y30" s="26"/>
      <c r="AF30" s="27">
        <v>35.700000000000003</v>
      </c>
      <c r="AG30" s="27" t="s">
        <v>132</v>
      </c>
      <c r="AH30" s="27">
        <v>3</v>
      </c>
      <c r="AJ30" s="31"/>
      <c r="AV30" s="56"/>
      <c r="AW30" s="57"/>
      <c r="AX30" s="37"/>
      <c r="AY30" s="38"/>
      <c r="AZ30" s="38"/>
      <c r="BA30" s="38"/>
      <c r="BB30" s="38"/>
      <c r="BC30" s="39"/>
      <c r="BD30" s="38"/>
      <c r="BE30" s="37"/>
      <c r="BI30" s="22"/>
      <c r="BJ30" s="23"/>
    </row>
    <row r="31" spans="1:75" s="27" customFormat="1">
      <c r="A31" s="54" t="s">
        <v>204</v>
      </c>
      <c r="B31" s="26" t="s">
        <v>49</v>
      </c>
      <c r="C31" s="27" t="s">
        <v>35</v>
      </c>
      <c r="D31" s="27" t="s">
        <v>36</v>
      </c>
      <c r="E31" s="27">
        <v>58</v>
      </c>
      <c r="F31" s="28" t="s">
        <v>54</v>
      </c>
      <c r="J31" s="27" t="s">
        <v>53</v>
      </c>
      <c r="K31" s="27">
        <v>5</v>
      </c>
      <c r="M31" s="15" t="s">
        <v>283</v>
      </c>
      <c r="T31" s="26"/>
      <c r="U31" s="26"/>
      <c r="V31" s="26"/>
      <c r="W31" s="26"/>
      <c r="X31" s="26"/>
      <c r="Y31" s="26"/>
      <c r="AF31" s="27">
        <v>60</v>
      </c>
      <c r="AG31" s="27" t="s">
        <v>132</v>
      </c>
      <c r="AH31" s="27">
        <v>3</v>
      </c>
      <c r="AJ31" s="31"/>
      <c r="AV31" s="56"/>
      <c r="AW31" s="57"/>
      <c r="AX31" s="37"/>
      <c r="AY31" s="38"/>
      <c r="AZ31" s="38"/>
      <c r="BA31" s="38"/>
      <c r="BB31" s="38"/>
      <c r="BC31" s="39"/>
      <c r="BD31" s="38"/>
      <c r="BE31" s="37"/>
      <c r="BI31" s="22"/>
      <c r="BJ31" s="23"/>
    </row>
    <row r="32" spans="1:75" s="27" customFormat="1">
      <c r="A32" s="54" t="s">
        <v>204</v>
      </c>
      <c r="B32" s="26" t="s">
        <v>49</v>
      </c>
      <c r="C32" s="27" t="s">
        <v>35</v>
      </c>
      <c r="D32" s="27" t="s">
        <v>36</v>
      </c>
      <c r="E32" s="27">
        <v>58</v>
      </c>
      <c r="F32" s="28" t="s">
        <v>55</v>
      </c>
      <c r="J32" s="27" t="s">
        <v>51</v>
      </c>
      <c r="K32" s="27">
        <v>7.1</v>
      </c>
      <c r="M32" s="27" t="s">
        <v>284</v>
      </c>
      <c r="T32" s="26"/>
      <c r="U32" s="26"/>
      <c r="V32" s="26"/>
      <c r="W32" s="26"/>
      <c r="X32" s="26"/>
      <c r="Y32" s="26"/>
      <c r="AF32" s="27">
        <v>85.7</v>
      </c>
      <c r="AG32" s="27" t="s">
        <v>132</v>
      </c>
      <c r="AH32" s="27">
        <v>3</v>
      </c>
      <c r="AJ32" s="31"/>
      <c r="AV32" s="56"/>
      <c r="AW32" s="57"/>
      <c r="AX32" s="37"/>
      <c r="AY32" s="38"/>
      <c r="AZ32" s="38"/>
      <c r="BA32" s="38"/>
      <c r="BB32" s="38"/>
      <c r="BC32" s="39"/>
      <c r="BD32" s="38"/>
      <c r="BE32" s="37"/>
      <c r="BI32" s="22"/>
      <c r="BJ32" s="23"/>
    </row>
    <row r="33" spans="1:75" s="15" customFormat="1">
      <c r="A33" s="13" t="s">
        <v>205</v>
      </c>
      <c r="B33" s="14" t="s">
        <v>56</v>
      </c>
      <c r="C33" s="15" t="s">
        <v>35</v>
      </c>
      <c r="D33" s="15" t="s">
        <v>36</v>
      </c>
      <c r="E33" s="15">
        <v>63</v>
      </c>
      <c r="F33" s="16" t="s">
        <v>52</v>
      </c>
      <c r="J33" s="15" t="s">
        <v>51</v>
      </c>
      <c r="K33" s="15">
        <v>7.1</v>
      </c>
      <c r="M33" s="27" t="s">
        <v>284</v>
      </c>
      <c r="N33" s="15">
        <v>2.5</v>
      </c>
      <c r="O33" s="15" t="s">
        <v>57</v>
      </c>
      <c r="P33" s="15" t="s">
        <v>42</v>
      </c>
      <c r="Q33" s="15" t="s">
        <v>42</v>
      </c>
      <c r="T33" s="14" t="s">
        <v>43</v>
      </c>
      <c r="U33" s="14">
        <v>2.5000000000000001E-2</v>
      </c>
      <c r="V33" s="14" t="s">
        <v>58</v>
      </c>
      <c r="W33" s="14">
        <v>2.5</v>
      </c>
      <c r="X33" s="14" t="s">
        <v>44</v>
      </c>
      <c r="Y33" s="14" t="s">
        <v>42</v>
      </c>
      <c r="AF33" s="15">
        <v>30.43</v>
      </c>
      <c r="AG33" s="15">
        <v>10</v>
      </c>
      <c r="AH33" s="15">
        <v>4</v>
      </c>
      <c r="AI33" s="15">
        <v>2.66</v>
      </c>
      <c r="AJ33" s="24">
        <f t="shared" si="1"/>
        <v>2.66E-3</v>
      </c>
      <c r="AV33" s="19"/>
      <c r="AW33" s="58"/>
      <c r="AX33" s="21"/>
      <c r="AY33" s="51"/>
      <c r="AZ33" s="51"/>
      <c r="BA33" s="51"/>
      <c r="BB33" s="51"/>
      <c r="BC33" s="52"/>
      <c r="BD33" s="51"/>
      <c r="BE33" s="21"/>
      <c r="BF33" s="15">
        <f>(AI33-AI34)/AI34</f>
        <v>0.12236286919831224</v>
      </c>
      <c r="BI33" s="22"/>
      <c r="BJ33" s="23">
        <f t="shared" si="4"/>
        <v>12.236286919831224</v>
      </c>
      <c r="BK33" s="27"/>
      <c r="BL33" s="27"/>
    </row>
    <row r="34" spans="1:75" s="15" customFormat="1">
      <c r="A34" s="13" t="s">
        <v>205</v>
      </c>
      <c r="B34" s="14" t="s">
        <v>56</v>
      </c>
      <c r="C34" s="15" t="s">
        <v>38</v>
      </c>
      <c r="D34" s="15" t="s">
        <v>36</v>
      </c>
      <c r="E34" s="15">
        <v>63</v>
      </c>
      <c r="F34" s="16" t="s">
        <v>52</v>
      </c>
      <c r="J34" s="15" t="s">
        <v>51</v>
      </c>
      <c r="K34" s="15">
        <v>7.1</v>
      </c>
      <c r="M34" s="27" t="s">
        <v>284</v>
      </c>
      <c r="N34" s="15">
        <v>2.5</v>
      </c>
      <c r="O34" s="15" t="s">
        <v>57</v>
      </c>
      <c r="P34" s="15" t="s">
        <v>42</v>
      </c>
      <c r="Q34" s="15" t="s">
        <v>42</v>
      </c>
      <c r="T34" s="14" t="s">
        <v>43</v>
      </c>
      <c r="U34" s="14">
        <v>2.5000000000000001E-2</v>
      </c>
      <c r="V34" s="14" t="s">
        <v>58</v>
      </c>
      <c r="W34" s="14">
        <v>2.5</v>
      </c>
      <c r="X34" s="14" t="s">
        <v>44</v>
      </c>
      <c r="Y34" s="14" t="s">
        <v>42</v>
      </c>
      <c r="AF34" s="15">
        <v>0</v>
      </c>
      <c r="AG34" s="15">
        <v>0</v>
      </c>
      <c r="AH34" s="15">
        <v>4</v>
      </c>
      <c r="AI34" s="15">
        <v>2.37</v>
      </c>
      <c r="AJ34" s="24">
        <f t="shared" si="1"/>
        <v>2.3700000000000001E-3</v>
      </c>
      <c r="AV34" s="19"/>
      <c r="AW34" s="58"/>
      <c r="AX34" s="21"/>
      <c r="AY34" s="51"/>
      <c r="AZ34" s="51"/>
      <c r="BA34" s="51"/>
      <c r="BB34" s="51"/>
      <c r="BC34" s="52"/>
      <c r="BD34" s="51"/>
      <c r="BE34" s="21"/>
      <c r="BI34" s="22"/>
      <c r="BJ34" s="23"/>
      <c r="BK34" s="27"/>
      <c r="BL34" s="27"/>
      <c r="BN34" s="59"/>
      <c r="BO34" s="59"/>
      <c r="BP34" s="59"/>
      <c r="BQ34" s="59"/>
      <c r="BR34" s="59"/>
      <c r="BS34" s="59"/>
      <c r="BT34" s="59"/>
      <c r="BU34" s="59"/>
      <c r="BV34" s="59"/>
    </row>
    <row r="35" spans="1:75" s="27" customFormat="1">
      <c r="A35" s="25" t="s">
        <v>206</v>
      </c>
      <c r="B35" s="26" t="s">
        <v>59</v>
      </c>
      <c r="C35" s="27" t="s">
        <v>35</v>
      </c>
      <c r="D35" s="27" t="s">
        <v>60</v>
      </c>
      <c r="E35" s="27">
        <v>63</v>
      </c>
      <c r="F35" s="28"/>
      <c r="J35" s="56" t="s">
        <v>61</v>
      </c>
      <c r="K35" s="27">
        <v>6.8</v>
      </c>
      <c r="L35" s="27">
        <v>0.8</v>
      </c>
      <c r="M35" s="27" t="s">
        <v>284</v>
      </c>
      <c r="N35" s="27">
        <v>18.2</v>
      </c>
      <c r="O35" s="27">
        <v>18.2</v>
      </c>
      <c r="P35" s="27" t="s">
        <v>62</v>
      </c>
      <c r="Q35" s="27" t="s">
        <v>62</v>
      </c>
      <c r="R35" s="27">
        <v>82.1</v>
      </c>
      <c r="S35" s="27">
        <v>82.1</v>
      </c>
      <c r="T35" s="26" t="s">
        <v>63</v>
      </c>
      <c r="U35" s="26">
        <v>0</v>
      </c>
      <c r="V35" s="26" t="s">
        <v>64</v>
      </c>
      <c r="W35" s="26"/>
      <c r="X35" s="26"/>
      <c r="Y35" s="26"/>
      <c r="AE35" s="27">
        <v>0</v>
      </c>
      <c r="AF35" s="94">
        <v>22.5</v>
      </c>
      <c r="AG35" s="94">
        <f>3.6*2.8284</f>
        <v>10.18224</v>
      </c>
      <c r="AH35" s="27">
        <v>8</v>
      </c>
      <c r="AJ35" s="31"/>
      <c r="AK35" s="27">
        <v>189</v>
      </c>
      <c r="AL35" s="27">
        <f>2*12</f>
        <v>24</v>
      </c>
      <c r="AO35" s="27">
        <v>4084</v>
      </c>
      <c r="AP35" s="27">
        <f>2*235</f>
        <v>470</v>
      </c>
      <c r="AS35" s="27">
        <v>65</v>
      </c>
      <c r="AT35" s="27">
        <v>2</v>
      </c>
      <c r="AV35" s="56"/>
      <c r="AW35" s="57"/>
      <c r="AX35" s="37"/>
      <c r="AY35" s="38">
        <v>771.87599999999998</v>
      </c>
      <c r="AZ35" s="38"/>
      <c r="BA35" s="38">
        <v>12.285</v>
      </c>
      <c r="BB35" s="38"/>
      <c r="BC35" s="39"/>
      <c r="BD35" s="38"/>
      <c r="BE35" s="37"/>
      <c r="BI35" s="53"/>
      <c r="BJ35" s="23"/>
      <c r="BN35" s="29">
        <v>25661.522794678698</v>
      </c>
      <c r="BP35" s="29">
        <v>42823.569841515171</v>
      </c>
      <c r="BR35" s="29">
        <v>14.817363525477944</v>
      </c>
      <c r="BT35" s="29">
        <v>96.029850075329279</v>
      </c>
      <c r="BV35" s="29">
        <v>11901.766728451659</v>
      </c>
      <c r="BW35" s="60"/>
    </row>
    <row r="36" spans="1:75" s="27" customFormat="1">
      <c r="A36" s="25" t="s">
        <v>206</v>
      </c>
      <c r="B36" s="26" t="s">
        <v>59</v>
      </c>
      <c r="C36" s="27" t="s">
        <v>35</v>
      </c>
      <c r="D36" s="27" t="s">
        <v>60</v>
      </c>
      <c r="E36" s="27">
        <v>63</v>
      </c>
      <c r="F36" s="28"/>
      <c r="J36" s="56" t="s">
        <v>61</v>
      </c>
      <c r="K36" s="27">
        <v>6.8</v>
      </c>
      <c r="L36" s="27">
        <v>0.8</v>
      </c>
      <c r="M36" s="27" t="s">
        <v>284</v>
      </c>
      <c r="N36" s="27">
        <v>18.2</v>
      </c>
      <c r="O36" s="27">
        <v>18.2</v>
      </c>
      <c r="P36" s="27" t="s">
        <v>62</v>
      </c>
      <c r="Q36" s="27" t="s">
        <v>62</v>
      </c>
      <c r="R36" s="27">
        <v>82.1</v>
      </c>
      <c r="S36" s="27">
        <v>82.1</v>
      </c>
      <c r="T36" s="26" t="s">
        <v>63</v>
      </c>
      <c r="U36" s="26">
        <v>0</v>
      </c>
      <c r="V36" s="26" t="s">
        <v>64</v>
      </c>
      <c r="W36" s="26"/>
      <c r="X36" s="26"/>
      <c r="Y36" s="26"/>
      <c r="AE36" s="27">
        <v>100</v>
      </c>
      <c r="AF36" s="94">
        <v>29.5</v>
      </c>
      <c r="AG36" s="94">
        <f>4.3*2.8284</f>
        <v>12.162119999999998</v>
      </c>
      <c r="AH36" s="27">
        <v>8</v>
      </c>
      <c r="AJ36" s="31"/>
      <c r="AK36" s="27">
        <v>215</v>
      </c>
      <c r="AL36" s="27">
        <f>2*11</f>
        <v>22</v>
      </c>
      <c r="AO36" s="27">
        <v>3876</v>
      </c>
      <c r="AP36" s="27">
        <f>2*177</f>
        <v>354</v>
      </c>
      <c r="AS36" s="27">
        <v>77</v>
      </c>
      <c r="AT36" s="27">
        <v>24</v>
      </c>
      <c r="AV36" s="56"/>
      <c r="AW36" s="57"/>
      <c r="AX36" s="37"/>
      <c r="AY36" s="38">
        <v>833.34</v>
      </c>
      <c r="AZ36" s="38"/>
      <c r="BA36" s="38">
        <v>16.555</v>
      </c>
      <c r="BB36" s="38"/>
      <c r="BC36" s="39"/>
      <c r="BD36" s="38"/>
      <c r="BE36" s="37"/>
      <c r="BI36" s="53"/>
      <c r="BJ36" s="23"/>
      <c r="BN36" s="29">
        <v>24953.336021204188</v>
      </c>
      <c r="BP36" s="29">
        <v>41067.397866955049</v>
      </c>
      <c r="BR36" s="29">
        <v>13.790966632449614</v>
      </c>
      <c r="BT36" s="29">
        <v>100.59671763100582</v>
      </c>
      <c r="BV36" s="29">
        <v>11894.731126780553</v>
      </c>
      <c r="BW36" s="60"/>
    </row>
    <row r="37" spans="1:75" s="27" customFormat="1">
      <c r="A37" s="25" t="s">
        <v>206</v>
      </c>
      <c r="B37" s="26" t="s">
        <v>59</v>
      </c>
      <c r="C37" s="27" t="s">
        <v>35</v>
      </c>
      <c r="D37" s="27" t="s">
        <v>60</v>
      </c>
      <c r="E37" s="27">
        <v>63</v>
      </c>
      <c r="F37" s="28"/>
      <c r="J37" s="56" t="s">
        <v>61</v>
      </c>
      <c r="K37" s="27">
        <v>6.8</v>
      </c>
      <c r="L37" s="27">
        <v>0.8</v>
      </c>
      <c r="M37" s="27" t="s">
        <v>284</v>
      </c>
      <c r="O37" s="27">
        <v>18.2</v>
      </c>
      <c r="P37" s="27" t="s">
        <v>62</v>
      </c>
      <c r="R37" s="27">
        <v>82.1</v>
      </c>
      <c r="S37" s="27">
        <v>82.1</v>
      </c>
      <c r="T37" s="26" t="s">
        <v>63</v>
      </c>
      <c r="U37" s="26">
        <v>50</v>
      </c>
      <c r="V37" s="26" t="s">
        <v>64</v>
      </c>
      <c r="W37" s="26"/>
      <c r="X37" s="26"/>
      <c r="Y37" s="26"/>
      <c r="AE37" s="27">
        <v>0</v>
      </c>
      <c r="AF37" s="94">
        <v>19.399999999999999</v>
      </c>
      <c r="AG37" s="94">
        <f>1.2*2.8284</f>
        <v>3.3940799999999998</v>
      </c>
      <c r="AH37" s="27">
        <v>8</v>
      </c>
      <c r="AJ37" s="31"/>
      <c r="AK37" s="27">
        <v>197</v>
      </c>
      <c r="AL37" s="27">
        <f>2*11</f>
        <v>22</v>
      </c>
      <c r="AO37" s="27">
        <v>4118</v>
      </c>
      <c r="AP37" s="27">
        <f>2*181</f>
        <v>362</v>
      </c>
      <c r="AS37" s="27">
        <v>64</v>
      </c>
      <c r="AT37" s="27">
        <v>2</v>
      </c>
      <c r="AV37" s="56"/>
      <c r="AW37" s="57"/>
      <c r="AX37" s="37"/>
      <c r="AY37" s="38">
        <v>811.24599999999998</v>
      </c>
      <c r="AZ37" s="38"/>
      <c r="BA37" s="38">
        <v>12.608000000000001</v>
      </c>
      <c r="BB37" s="38"/>
      <c r="BC37" s="39"/>
      <c r="BD37" s="38"/>
      <c r="BE37" s="37"/>
      <c r="BI37" s="53"/>
      <c r="BJ37" s="23"/>
      <c r="BN37" s="29">
        <v>26125.462964323426</v>
      </c>
      <c r="BP37" s="29">
        <v>41766.082324702162</v>
      </c>
      <c r="BR37" s="29">
        <v>15.611923864683664</v>
      </c>
      <c r="BT37" s="29">
        <v>96.773539943694942</v>
      </c>
      <c r="BV37" s="29">
        <v>11610.094272872959</v>
      </c>
      <c r="BW37" s="60"/>
    </row>
    <row r="38" spans="1:75" s="27" customFormat="1">
      <c r="A38" s="25" t="s">
        <v>206</v>
      </c>
      <c r="B38" s="26" t="s">
        <v>59</v>
      </c>
      <c r="C38" s="27" t="s">
        <v>35</v>
      </c>
      <c r="D38" s="27" t="s">
        <v>60</v>
      </c>
      <c r="E38" s="27">
        <v>63</v>
      </c>
      <c r="F38" s="28"/>
      <c r="J38" s="56" t="s">
        <v>61</v>
      </c>
      <c r="K38" s="27">
        <v>6.8</v>
      </c>
      <c r="L38" s="27">
        <v>0.8</v>
      </c>
      <c r="M38" s="27" t="s">
        <v>284</v>
      </c>
      <c r="O38" s="27">
        <v>18.2</v>
      </c>
      <c r="P38" s="27" t="s">
        <v>62</v>
      </c>
      <c r="R38" s="27">
        <v>82.1</v>
      </c>
      <c r="S38" s="27">
        <v>82.1</v>
      </c>
      <c r="T38" s="26" t="s">
        <v>63</v>
      </c>
      <c r="U38" s="26">
        <v>50</v>
      </c>
      <c r="V38" s="26" t="s">
        <v>64</v>
      </c>
      <c r="W38" s="26"/>
      <c r="X38" s="26"/>
      <c r="Y38" s="26"/>
      <c r="AE38" s="27">
        <v>100</v>
      </c>
      <c r="AF38" s="94">
        <v>25.4</v>
      </c>
      <c r="AG38" s="94">
        <f>3.1*2.8284</f>
        <v>8.7680399999999992</v>
      </c>
      <c r="AH38" s="27">
        <v>8</v>
      </c>
      <c r="AJ38" s="31"/>
      <c r="AK38" s="27">
        <v>183</v>
      </c>
      <c r="AL38" s="27">
        <f>2*14</f>
        <v>28</v>
      </c>
      <c r="AO38" s="27">
        <v>3163</v>
      </c>
      <c r="AP38" s="27">
        <f>2*199</f>
        <v>398</v>
      </c>
      <c r="AS38" s="27">
        <v>55</v>
      </c>
      <c r="AT38" s="27">
        <v>8</v>
      </c>
      <c r="AV38" s="56"/>
      <c r="AW38" s="57"/>
      <c r="AX38" s="37"/>
      <c r="AY38" s="38">
        <v>578.82899999999995</v>
      </c>
      <c r="AZ38" s="38"/>
      <c r="BA38" s="38">
        <v>10.065</v>
      </c>
      <c r="BB38" s="38"/>
      <c r="BC38" s="39"/>
      <c r="BD38" s="38"/>
      <c r="BE38" s="37"/>
      <c r="BI38" s="53"/>
      <c r="BJ38" s="23"/>
      <c r="BN38" s="29">
        <v>22054.64537233617</v>
      </c>
      <c r="BP38" s="29">
        <v>37554.205503027471</v>
      </c>
      <c r="BR38" s="29">
        <v>8.7080915362931002</v>
      </c>
      <c r="BT38" s="29">
        <v>100.07658607345272</v>
      </c>
      <c r="BV38" s="29">
        <v>10973.987288381239</v>
      </c>
      <c r="BW38" s="60"/>
    </row>
    <row r="39" spans="1:75" s="27" customFormat="1">
      <c r="A39" s="25" t="s">
        <v>206</v>
      </c>
      <c r="B39" s="26" t="s">
        <v>59</v>
      </c>
      <c r="C39" s="27" t="s">
        <v>38</v>
      </c>
      <c r="D39" s="27" t="s">
        <v>60</v>
      </c>
      <c r="E39" s="27">
        <v>63</v>
      </c>
      <c r="F39" s="28"/>
      <c r="J39" s="56" t="s">
        <v>61</v>
      </c>
      <c r="K39" s="27">
        <v>6.8</v>
      </c>
      <c r="L39" s="27">
        <v>0.8</v>
      </c>
      <c r="M39" s="27" t="s">
        <v>284</v>
      </c>
      <c r="N39" s="27">
        <v>18.2</v>
      </c>
      <c r="O39" s="27">
        <v>18.2</v>
      </c>
      <c r="P39" s="27" t="s">
        <v>62</v>
      </c>
      <c r="Q39" s="27" t="s">
        <v>62</v>
      </c>
      <c r="R39" s="27">
        <v>82.1</v>
      </c>
      <c r="S39" s="27">
        <v>82.1</v>
      </c>
      <c r="T39" s="26" t="s">
        <v>63</v>
      </c>
      <c r="U39" s="26">
        <v>0</v>
      </c>
      <c r="V39" s="26" t="s">
        <v>64</v>
      </c>
      <c r="W39" s="26"/>
      <c r="X39" s="26"/>
      <c r="Y39" s="26"/>
      <c r="AE39" s="27">
        <v>0</v>
      </c>
      <c r="AF39" s="94">
        <v>6.8</v>
      </c>
      <c r="AG39" s="94">
        <f>2.5*2.8284</f>
        <v>7.0709999999999997</v>
      </c>
      <c r="AH39" s="27">
        <v>8</v>
      </c>
      <c r="AJ39" s="31"/>
      <c r="AK39" s="27">
        <v>197</v>
      </c>
      <c r="AL39" s="27">
        <f>2*10</f>
        <v>20</v>
      </c>
      <c r="AO39" s="27">
        <v>2368</v>
      </c>
      <c r="AP39" s="27">
        <f>2*253</f>
        <v>506</v>
      </c>
      <c r="AS39" s="27">
        <v>41</v>
      </c>
      <c r="AT39" s="27">
        <v>6</v>
      </c>
      <c r="AV39" s="56"/>
      <c r="AW39" s="57"/>
      <c r="AX39" s="37"/>
      <c r="AY39" s="38">
        <v>466.49600000000004</v>
      </c>
      <c r="AZ39" s="38"/>
      <c r="BA39" s="38">
        <v>8.077</v>
      </c>
      <c r="BB39" s="38"/>
      <c r="BC39" s="39"/>
      <c r="BD39" s="38"/>
      <c r="BE39" s="37"/>
      <c r="BI39" s="53"/>
      <c r="BJ39" s="23"/>
      <c r="BN39" s="29">
        <v>25157.501419372664</v>
      </c>
      <c r="BP39" s="29">
        <v>43996.67276975383</v>
      </c>
      <c r="BR39" s="29">
        <v>4.8979514316799344</v>
      </c>
      <c r="BT39" s="29">
        <v>177.23985134813915</v>
      </c>
      <c r="BV39" s="29">
        <v>13638.71454434835</v>
      </c>
      <c r="BW39" s="60"/>
    </row>
    <row r="40" spans="1:75" s="27" customFormat="1">
      <c r="A40" s="25" t="s">
        <v>206</v>
      </c>
      <c r="B40" s="26" t="s">
        <v>59</v>
      </c>
      <c r="C40" s="27" t="s">
        <v>38</v>
      </c>
      <c r="D40" s="27" t="s">
        <v>60</v>
      </c>
      <c r="E40" s="27">
        <v>63</v>
      </c>
      <c r="F40" s="28"/>
      <c r="J40" s="56" t="s">
        <v>61</v>
      </c>
      <c r="K40" s="27">
        <v>6.8</v>
      </c>
      <c r="L40" s="27">
        <v>0.8</v>
      </c>
      <c r="M40" s="27" t="s">
        <v>284</v>
      </c>
      <c r="N40" s="27">
        <v>18.2</v>
      </c>
      <c r="O40" s="27">
        <v>18.2</v>
      </c>
      <c r="P40" s="27" t="s">
        <v>62</v>
      </c>
      <c r="Q40" s="27" t="s">
        <v>62</v>
      </c>
      <c r="R40" s="27">
        <v>82.1</v>
      </c>
      <c r="S40" s="27">
        <v>82.1</v>
      </c>
      <c r="T40" s="26" t="s">
        <v>63</v>
      </c>
      <c r="U40" s="26">
        <v>0</v>
      </c>
      <c r="V40" s="26" t="s">
        <v>64</v>
      </c>
      <c r="W40" s="26"/>
      <c r="X40" s="26"/>
      <c r="Y40" s="26"/>
      <c r="AE40" s="27">
        <v>100</v>
      </c>
      <c r="AF40" s="94">
        <v>3.1</v>
      </c>
      <c r="AG40" s="94">
        <f>1*2.8284</f>
        <v>2.8283999999999998</v>
      </c>
      <c r="AH40" s="27">
        <v>8</v>
      </c>
      <c r="AJ40" s="31"/>
      <c r="AK40" s="27">
        <v>159</v>
      </c>
      <c r="AL40" s="27">
        <f>2*8</f>
        <v>16</v>
      </c>
      <c r="AO40" s="27">
        <v>2162</v>
      </c>
      <c r="AP40" s="27">
        <f>2*150</f>
        <v>300</v>
      </c>
      <c r="AS40" s="27">
        <v>44</v>
      </c>
      <c r="AT40" s="27">
        <v>0.2</v>
      </c>
      <c r="AV40" s="56"/>
      <c r="AW40" s="57"/>
      <c r="AX40" s="37"/>
      <c r="AY40" s="38">
        <v>343.75799999999998</v>
      </c>
      <c r="AZ40" s="38"/>
      <c r="BA40" s="38">
        <v>6.9960000000000004</v>
      </c>
      <c r="BB40" s="38"/>
      <c r="BC40" s="39"/>
      <c r="BD40" s="38"/>
      <c r="BE40" s="37"/>
      <c r="BI40" s="53"/>
      <c r="BJ40" s="23"/>
      <c r="BN40" s="29">
        <v>23788.264922086357</v>
      </c>
      <c r="BP40" s="29">
        <v>41659.577228394504</v>
      </c>
      <c r="BR40" s="29">
        <v>6.2731075957692415</v>
      </c>
      <c r="BT40" s="29">
        <v>187.12353482595577</v>
      </c>
      <c r="BV40" s="29">
        <v>14065.53296605216</v>
      </c>
      <c r="BW40" s="60"/>
    </row>
    <row r="41" spans="1:75" s="27" customFormat="1">
      <c r="A41" s="25" t="s">
        <v>206</v>
      </c>
      <c r="B41" s="26" t="s">
        <v>59</v>
      </c>
      <c r="C41" s="27" t="s">
        <v>38</v>
      </c>
      <c r="D41" s="27" t="s">
        <v>60</v>
      </c>
      <c r="E41" s="27">
        <v>63</v>
      </c>
      <c r="F41" s="28"/>
      <c r="J41" s="56" t="s">
        <v>61</v>
      </c>
      <c r="K41" s="27">
        <v>6.8</v>
      </c>
      <c r="L41" s="27">
        <v>0.8</v>
      </c>
      <c r="M41" s="27" t="s">
        <v>284</v>
      </c>
      <c r="O41" s="27">
        <v>18.2</v>
      </c>
      <c r="P41" s="27" t="s">
        <v>62</v>
      </c>
      <c r="R41" s="27">
        <v>82.1</v>
      </c>
      <c r="S41" s="27">
        <v>82.1</v>
      </c>
      <c r="T41" s="26" t="s">
        <v>63</v>
      </c>
      <c r="U41" s="26">
        <v>50</v>
      </c>
      <c r="V41" s="26" t="s">
        <v>64</v>
      </c>
      <c r="W41" s="26"/>
      <c r="X41" s="26"/>
      <c r="Y41" s="26"/>
      <c r="AE41" s="27">
        <v>0</v>
      </c>
      <c r="AF41" s="94">
        <v>5.4</v>
      </c>
      <c r="AG41" s="94">
        <f>1.8*2.8284</f>
        <v>5.0911200000000001</v>
      </c>
      <c r="AH41" s="27">
        <v>8</v>
      </c>
      <c r="AJ41" s="31"/>
      <c r="AK41" s="27">
        <v>178</v>
      </c>
      <c r="AL41" s="27">
        <f>2*10</f>
        <v>20</v>
      </c>
      <c r="AO41" s="27">
        <v>2054</v>
      </c>
      <c r="AP41" s="27">
        <f>2*162</f>
        <v>324</v>
      </c>
      <c r="AS41" s="27">
        <v>43</v>
      </c>
      <c r="AT41" s="27">
        <v>4</v>
      </c>
      <c r="AV41" s="56"/>
      <c r="AW41" s="57"/>
      <c r="AX41" s="37"/>
      <c r="AY41" s="38">
        <v>365.61199999999997</v>
      </c>
      <c r="AZ41" s="38"/>
      <c r="BA41" s="38">
        <v>7.6539999999999999</v>
      </c>
      <c r="BB41" s="38"/>
      <c r="BC41" s="39"/>
      <c r="BD41" s="38"/>
      <c r="BE41" s="37"/>
      <c r="BI41" s="53"/>
      <c r="BJ41" s="23"/>
      <c r="BN41" s="29">
        <v>23072.80421645489</v>
      </c>
      <c r="BP41" s="29">
        <v>43242.182798821501</v>
      </c>
      <c r="BR41" s="29">
        <v>2.9293607849300405</v>
      </c>
      <c r="BT41" s="29">
        <v>186.62651370034664</v>
      </c>
      <c r="BV41" s="29">
        <v>13700.899675089517</v>
      </c>
      <c r="BW41" s="60"/>
    </row>
    <row r="42" spans="1:75" s="27" customFormat="1">
      <c r="A42" s="25" t="s">
        <v>206</v>
      </c>
      <c r="B42" s="26" t="s">
        <v>59</v>
      </c>
      <c r="C42" s="27" t="s">
        <v>38</v>
      </c>
      <c r="D42" s="27" t="s">
        <v>60</v>
      </c>
      <c r="E42" s="27">
        <v>63</v>
      </c>
      <c r="F42" s="28"/>
      <c r="J42" s="56" t="s">
        <v>61</v>
      </c>
      <c r="K42" s="27">
        <v>6.8</v>
      </c>
      <c r="L42" s="27">
        <v>0.8</v>
      </c>
      <c r="M42" s="27" t="s">
        <v>284</v>
      </c>
      <c r="O42" s="27">
        <v>18.2</v>
      </c>
      <c r="P42" s="27" t="s">
        <v>62</v>
      </c>
      <c r="R42" s="27">
        <v>82.1</v>
      </c>
      <c r="S42" s="27">
        <v>82.1</v>
      </c>
      <c r="T42" s="26" t="s">
        <v>63</v>
      </c>
      <c r="U42" s="26">
        <v>50</v>
      </c>
      <c r="V42" s="26" t="s">
        <v>64</v>
      </c>
      <c r="W42" s="26"/>
      <c r="X42" s="26"/>
      <c r="Y42" s="26"/>
      <c r="AE42" s="27">
        <v>100</v>
      </c>
      <c r="AF42" s="94">
        <v>3.4</v>
      </c>
      <c r="AG42" s="94">
        <f>0.6*2.8284</f>
        <v>1.6970399999999999</v>
      </c>
      <c r="AH42" s="27">
        <v>8</v>
      </c>
      <c r="AJ42" s="31"/>
      <c r="AK42" s="27">
        <v>180</v>
      </c>
      <c r="AL42" s="27">
        <f>2*11</f>
        <v>22</v>
      </c>
      <c r="AO42" s="27">
        <v>2151</v>
      </c>
      <c r="AP42" s="27">
        <f>2*293</f>
        <v>586</v>
      </c>
      <c r="AS42" s="27">
        <v>42</v>
      </c>
      <c r="AT42" s="27">
        <v>8</v>
      </c>
      <c r="AV42" s="56"/>
      <c r="AW42" s="57"/>
      <c r="AX42" s="37"/>
      <c r="AY42" s="38">
        <v>387.18</v>
      </c>
      <c r="AZ42" s="38"/>
      <c r="BA42" s="38">
        <v>7.56</v>
      </c>
      <c r="BB42" s="38"/>
      <c r="BC42" s="39"/>
      <c r="BD42" s="38"/>
      <c r="BE42" s="37"/>
      <c r="BI42" s="53"/>
      <c r="BJ42" s="23"/>
      <c r="BN42" s="29">
        <v>23904.832614895131</v>
      </c>
      <c r="BP42" s="29">
        <v>42627.907679987402</v>
      </c>
      <c r="BR42" s="29">
        <v>3.4700173085728663</v>
      </c>
      <c r="BT42" s="29">
        <v>171.70826343115709</v>
      </c>
      <c r="BV42" s="29">
        <v>13697.395677246079</v>
      </c>
      <c r="BW42" s="60"/>
    </row>
    <row r="43" spans="1:75" s="15" customFormat="1">
      <c r="A43" s="13" t="s">
        <v>207</v>
      </c>
      <c r="B43" s="14" t="s">
        <v>65</v>
      </c>
      <c r="C43" s="15" t="s">
        <v>38</v>
      </c>
      <c r="D43" s="15" t="s">
        <v>36</v>
      </c>
      <c r="E43" s="15">
        <v>72</v>
      </c>
      <c r="F43" s="16"/>
      <c r="J43" s="15" t="s">
        <v>61</v>
      </c>
      <c r="K43" s="15">
        <v>6.8</v>
      </c>
      <c r="L43" s="15">
        <v>0.8</v>
      </c>
      <c r="M43" s="27" t="s">
        <v>284</v>
      </c>
      <c r="N43" s="15">
        <v>18.2</v>
      </c>
      <c r="O43" s="15">
        <v>18.2</v>
      </c>
      <c r="P43" s="15" t="s">
        <v>62</v>
      </c>
      <c r="Q43" s="15" t="s">
        <v>62</v>
      </c>
      <c r="R43" s="15">
        <v>82.1</v>
      </c>
      <c r="S43" s="15">
        <v>82.1</v>
      </c>
      <c r="T43" s="14"/>
      <c r="U43" s="14"/>
      <c r="V43" s="14"/>
      <c r="W43" s="14"/>
      <c r="X43" s="14"/>
      <c r="Y43" s="14"/>
      <c r="AF43" s="18">
        <v>1</v>
      </c>
      <c r="AG43" s="18">
        <v>1.1499999999999999</v>
      </c>
      <c r="AH43" s="15">
        <v>4</v>
      </c>
      <c r="AI43" s="47">
        <f t="shared" ref="AI43:AI48" si="5">AK43+AM43</f>
        <v>2.2848477005784669</v>
      </c>
      <c r="AJ43" s="24">
        <f t="shared" si="1"/>
        <v>2.2848477005784668E-3</v>
      </c>
      <c r="AK43" s="61">
        <v>1.578325</v>
      </c>
      <c r="AL43" s="61">
        <f>2*0.160077477985922</f>
        <v>0.32015495597184401</v>
      </c>
      <c r="AM43" s="61">
        <v>0.706522700578467</v>
      </c>
      <c r="AN43" s="61">
        <f>2*0.0822784913262188</f>
        <v>0.16455698265243759</v>
      </c>
      <c r="AO43" s="15">
        <v>1302.160109561753</v>
      </c>
      <c r="AP43" s="15">
        <f>2*97.9834382290185</f>
        <v>195.96687645803701</v>
      </c>
      <c r="AQ43" s="15">
        <v>1978.8023935321601</v>
      </c>
      <c r="AR43" s="15">
        <f>2*218.65402927811</f>
        <v>437.30805855621998</v>
      </c>
      <c r="AS43" s="15">
        <v>34.832203444287366</v>
      </c>
      <c r="AT43" s="15">
        <f>2*3.76662100518286</f>
        <v>7.5332420103657203</v>
      </c>
      <c r="AU43" s="15">
        <v>45.874687193761702</v>
      </c>
      <c r="AV43" s="19">
        <f>2*1.16873875676422</f>
        <v>2.33747751352844</v>
      </c>
      <c r="AW43" s="58">
        <v>3.4533006659135301</v>
      </c>
      <c r="AX43" s="21">
        <v>8.7388045385533797E-2</v>
      </c>
      <c r="AY43" s="51">
        <v>2.0552318549240538</v>
      </c>
      <c r="AZ43" s="51">
        <v>1.3980688109894761</v>
      </c>
      <c r="BA43" s="51">
        <v>5.4976537501204854E-2</v>
      </c>
      <c r="BB43" s="51" t="e">
        <f>#REF!*AU43</f>
        <v>#REF!</v>
      </c>
      <c r="BC43" s="52">
        <f t="shared" ref="BC43:BC44" si="6">AZ43/AY43</f>
        <v>0.68024870655828673</v>
      </c>
      <c r="BD43" s="51" t="e">
        <f t="shared" ref="BD43:BD44" si="7">BB43/BA43</f>
        <v>#REF!</v>
      </c>
      <c r="BE43" s="21">
        <f t="shared" ref="BE43:BE48" si="8">AM43/AK43</f>
        <v>0.44764082212374956</v>
      </c>
      <c r="BI43" s="22"/>
      <c r="BJ43" s="23"/>
      <c r="BK43" s="27"/>
      <c r="BL43" s="27"/>
      <c r="BN43" s="17"/>
      <c r="BO43" s="17"/>
      <c r="BP43" s="17"/>
      <c r="BQ43" s="17"/>
      <c r="BR43" s="17"/>
      <c r="BS43" s="17"/>
      <c r="BT43" s="17"/>
      <c r="BU43" s="17"/>
      <c r="BV43" s="17"/>
    </row>
    <row r="44" spans="1:75" s="15" customFormat="1">
      <c r="A44" s="13" t="s">
        <v>207</v>
      </c>
      <c r="B44" s="14" t="s">
        <v>65</v>
      </c>
      <c r="C44" s="15" t="s">
        <v>35</v>
      </c>
      <c r="D44" s="15" t="s">
        <v>36</v>
      </c>
      <c r="E44" s="15">
        <v>72</v>
      </c>
      <c r="F44" s="16"/>
      <c r="J44" s="15" t="s">
        <v>61</v>
      </c>
      <c r="K44" s="15">
        <v>6.8</v>
      </c>
      <c r="L44" s="15">
        <v>0.8</v>
      </c>
      <c r="M44" s="27" t="s">
        <v>284</v>
      </c>
      <c r="N44" s="15">
        <v>18.2</v>
      </c>
      <c r="O44" s="15">
        <v>18.2</v>
      </c>
      <c r="P44" s="15" t="s">
        <v>62</v>
      </c>
      <c r="Q44" s="15" t="s">
        <v>62</v>
      </c>
      <c r="R44" s="15">
        <v>82.1</v>
      </c>
      <c r="S44" s="15">
        <v>82.1</v>
      </c>
      <c r="T44" s="14"/>
      <c r="U44" s="14"/>
      <c r="V44" s="14"/>
      <c r="W44" s="14"/>
      <c r="X44" s="14"/>
      <c r="Y44" s="14"/>
      <c r="AF44" s="18">
        <v>71.75</v>
      </c>
      <c r="AG44" s="18">
        <v>12.36</v>
      </c>
      <c r="AH44" s="15">
        <v>4</v>
      </c>
      <c r="AI44" s="47">
        <f t="shared" si="5"/>
        <v>2.1363500000000002</v>
      </c>
      <c r="AJ44" s="24">
        <f>AI44/1000</f>
        <v>2.1363500000000004E-3</v>
      </c>
      <c r="AK44" s="61">
        <v>1.4659500000000001</v>
      </c>
      <c r="AL44" s="61"/>
      <c r="AM44" s="61">
        <v>0.6704</v>
      </c>
      <c r="AN44" s="61"/>
      <c r="AO44" s="62">
        <v>3075.6</v>
      </c>
      <c r="AQ44" s="62">
        <v>3039.7</v>
      </c>
      <c r="AS44" s="62">
        <v>56.9</v>
      </c>
      <c r="AU44" s="62">
        <v>99.9</v>
      </c>
      <c r="AV44" s="19"/>
      <c r="AW44" s="58">
        <v>6.5464907000000006</v>
      </c>
      <c r="AX44" s="21">
        <v>0.15038551500000003</v>
      </c>
      <c r="AY44" s="51">
        <v>4.5086758200000006</v>
      </c>
      <c r="AZ44" s="52">
        <v>2.03781488</v>
      </c>
      <c r="BA44" s="51">
        <v>8.3412555000000013E-2</v>
      </c>
      <c r="BB44" s="51" t="e">
        <f>#REF!*AU44</f>
        <v>#REF!</v>
      </c>
      <c r="BC44" s="52">
        <f t="shared" si="6"/>
        <v>0.45197635877045594</v>
      </c>
      <c r="BD44" s="51" t="e">
        <f t="shared" si="7"/>
        <v>#REF!</v>
      </c>
      <c r="BE44" s="21">
        <f t="shared" si="8"/>
        <v>0.4573143695214707</v>
      </c>
      <c r="BI44" s="22"/>
      <c r="BJ44" s="23"/>
      <c r="BK44" s="27"/>
      <c r="BL44" s="27"/>
      <c r="BN44" s="17"/>
      <c r="BO44" s="17"/>
      <c r="BP44" s="17"/>
      <c r="BQ44" s="17"/>
      <c r="BR44" s="17"/>
      <c r="BS44" s="17"/>
      <c r="BT44" s="17"/>
      <c r="BU44" s="17"/>
      <c r="BV44" s="17"/>
    </row>
    <row r="45" spans="1:75" s="27" customFormat="1">
      <c r="A45" s="25" t="s">
        <v>208</v>
      </c>
      <c r="B45" s="26" t="s">
        <v>66</v>
      </c>
      <c r="C45" s="27" t="s">
        <v>35</v>
      </c>
      <c r="D45" s="27" t="s">
        <v>36</v>
      </c>
      <c r="E45" s="27">
        <v>79</v>
      </c>
      <c r="F45" s="28"/>
      <c r="J45" s="27" t="s">
        <v>67</v>
      </c>
      <c r="K45" s="27">
        <v>6.7</v>
      </c>
      <c r="L45" s="27">
        <v>0.3</v>
      </c>
      <c r="M45" s="27" t="s">
        <v>284</v>
      </c>
      <c r="R45" s="27">
        <v>0.3</v>
      </c>
      <c r="S45" s="27">
        <v>0.3</v>
      </c>
      <c r="T45" s="26" t="s">
        <v>68</v>
      </c>
      <c r="U45" s="26">
        <v>1.5</v>
      </c>
      <c r="V45" s="64" t="s">
        <v>64</v>
      </c>
      <c r="W45" s="26">
        <v>104.2</v>
      </c>
      <c r="X45" s="26" t="s">
        <v>69</v>
      </c>
      <c r="Y45" s="26" t="s">
        <v>62</v>
      </c>
      <c r="AF45" s="94">
        <v>18.920000000000002</v>
      </c>
      <c r="AG45" s="65">
        <f>2.4495*0.052770436553106</f>
        <v>0.12926118433683315</v>
      </c>
      <c r="AH45" s="27">
        <v>6</v>
      </c>
      <c r="AI45" s="40">
        <f t="shared" si="5"/>
        <v>5.6670500000000006</v>
      </c>
      <c r="AJ45" s="31">
        <f t="shared" si="1"/>
        <v>5.6670500000000007E-3</v>
      </c>
      <c r="AK45" s="66">
        <v>4.5200500000000003</v>
      </c>
      <c r="AL45" s="67">
        <f>2.4495*0.145838396293066</f>
        <v>0.35723115171986514</v>
      </c>
      <c r="AM45" s="27">
        <v>1.147</v>
      </c>
      <c r="AO45" s="65">
        <v>5866.6504808333339</v>
      </c>
      <c r="AP45" s="67">
        <f>2.4495*52.8892865793993</f>
        <v>129.55230747623858</v>
      </c>
      <c r="AS45" s="65">
        <v>41.198046748333333</v>
      </c>
      <c r="AT45" s="67">
        <f>2.4495*1.83792923057766</f>
        <v>4.5020076502999782</v>
      </c>
      <c r="AV45" s="56"/>
      <c r="AW45" s="57"/>
      <c r="AX45" s="37"/>
      <c r="AY45" s="38">
        <v>26.517553505890714</v>
      </c>
      <c r="AZ45" s="38"/>
      <c r="BA45" s="38">
        <v>0.1862172312048041</v>
      </c>
      <c r="BB45" s="38"/>
      <c r="BC45" s="39"/>
      <c r="BD45" s="38"/>
      <c r="BE45" s="37">
        <f t="shared" si="8"/>
        <v>0.25375825488656095</v>
      </c>
      <c r="BF45" s="27">
        <f>(AI45-AI46)/AI46</f>
        <v>-2.9498398780675616E-2</v>
      </c>
      <c r="BI45" s="22"/>
      <c r="BJ45" s="23">
        <f t="shared" si="4"/>
        <v>-2.9498398780675616</v>
      </c>
      <c r="BN45" s="63">
        <v>22152.729953333332</v>
      </c>
      <c r="BP45" s="63">
        <v>14786.660545000001</v>
      </c>
      <c r="BT45" s="63">
        <v>33.932805333333327</v>
      </c>
      <c r="BV45" s="63">
        <v>5729.7497309999999</v>
      </c>
    </row>
    <row r="46" spans="1:75" s="27" customFormat="1">
      <c r="A46" s="25" t="s">
        <v>208</v>
      </c>
      <c r="B46" s="26" t="s">
        <v>66</v>
      </c>
      <c r="C46" s="27" t="s">
        <v>38</v>
      </c>
      <c r="D46" s="27" t="s">
        <v>36</v>
      </c>
      <c r="E46" s="27">
        <v>79</v>
      </c>
      <c r="F46" s="28"/>
      <c r="J46" s="27" t="s">
        <v>67</v>
      </c>
      <c r="K46" s="27">
        <v>6.7</v>
      </c>
      <c r="L46" s="27">
        <v>0.3</v>
      </c>
      <c r="M46" s="27" t="s">
        <v>284</v>
      </c>
      <c r="R46" s="27">
        <v>0.3</v>
      </c>
      <c r="S46" s="27">
        <v>0.3</v>
      </c>
      <c r="T46" s="26" t="s">
        <v>68</v>
      </c>
      <c r="U46" s="26">
        <v>1.5</v>
      </c>
      <c r="V46" s="64" t="s">
        <v>64</v>
      </c>
      <c r="W46" s="26">
        <v>104.2</v>
      </c>
      <c r="X46" s="26" t="s">
        <v>69</v>
      </c>
      <c r="Y46" s="26" t="s">
        <v>62</v>
      </c>
      <c r="AF46" s="94">
        <v>3.0000000000000001E-3</v>
      </c>
      <c r="AG46" s="65">
        <f>2.4495*0.0021082203134702</f>
        <v>5.1640856578452545E-3</v>
      </c>
      <c r="AH46" s="27">
        <v>6</v>
      </c>
      <c r="AI46" s="40">
        <f t="shared" si="5"/>
        <v>5.8392999999999997</v>
      </c>
      <c r="AJ46" s="31">
        <f t="shared" si="1"/>
        <v>5.8392999999999995E-3</v>
      </c>
      <c r="AK46" s="66">
        <v>4.4443000000000001</v>
      </c>
      <c r="AL46" s="67">
        <f>2.4495*0.125877342414484</f>
        <v>0.30833655024427858</v>
      </c>
      <c r="AM46" s="27">
        <v>1.395</v>
      </c>
      <c r="AO46" s="65">
        <v>5013.5029501666659</v>
      </c>
      <c r="AP46" s="67">
        <f>2.4495*80.2894043299002</f>
        <v>196.66889590609051</v>
      </c>
      <c r="AS46" s="65">
        <v>29.310268563333334</v>
      </c>
      <c r="AT46" s="67">
        <f>2.4495*1.53588457571414</f>
        <v>3.7621492682117856</v>
      </c>
      <c r="AV46" s="56"/>
      <c r="AW46" s="57"/>
      <c r="AX46" s="37"/>
      <c r="AY46" s="38">
        <v>22.281511161425712</v>
      </c>
      <c r="AZ46" s="38"/>
      <c r="BA46" s="38">
        <v>0.13026362657602233</v>
      </c>
      <c r="BB46" s="38"/>
      <c r="BC46" s="39"/>
      <c r="BD46" s="38"/>
      <c r="BE46" s="37">
        <f t="shared" si="8"/>
        <v>0.31388520126904124</v>
      </c>
      <c r="BI46" s="22"/>
      <c r="BJ46" s="23">
        <f>BF47*100</f>
        <v>-11.44913243956395</v>
      </c>
      <c r="BN46" s="63">
        <v>21773.022083333333</v>
      </c>
      <c r="BP46" s="63">
        <v>14178.35585</v>
      </c>
      <c r="BT46" s="63">
        <v>32.096746320000001</v>
      </c>
      <c r="BV46" s="63">
        <v>5080.714015999999</v>
      </c>
    </row>
    <row r="47" spans="1:75" s="27" customFormat="1">
      <c r="A47" s="25" t="s">
        <v>208</v>
      </c>
      <c r="B47" s="26" t="s">
        <v>66</v>
      </c>
      <c r="C47" s="27" t="s">
        <v>35</v>
      </c>
      <c r="D47" s="27" t="s">
        <v>36</v>
      </c>
      <c r="E47" s="27">
        <v>79</v>
      </c>
      <c r="F47" s="28"/>
      <c r="J47" s="27" t="s">
        <v>67</v>
      </c>
      <c r="K47" s="27">
        <v>6.7</v>
      </c>
      <c r="L47" s="27">
        <v>0.3</v>
      </c>
      <c r="M47" s="27" t="s">
        <v>284</v>
      </c>
      <c r="R47" s="27">
        <v>0.3</v>
      </c>
      <c r="S47" s="27">
        <v>0.3</v>
      </c>
      <c r="T47" s="26" t="s">
        <v>68</v>
      </c>
      <c r="U47" s="26">
        <v>7.5</v>
      </c>
      <c r="V47" s="64" t="s">
        <v>64</v>
      </c>
      <c r="W47" s="26">
        <v>113.4</v>
      </c>
      <c r="X47" s="26" t="s">
        <v>69</v>
      </c>
      <c r="Y47" s="26" t="s">
        <v>62</v>
      </c>
      <c r="AF47" s="94">
        <v>17.489999999999998</v>
      </c>
      <c r="AG47" s="65">
        <f>2.4495*0.0413115449421175</f>
        <v>0.10119262933571682</v>
      </c>
      <c r="AH47" s="27">
        <v>6</v>
      </c>
      <c r="AI47" s="40">
        <f t="shared" si="5"/>
        <v>5.5372333333333339</v>
      </c>
      <c r="AJ47" s="31">
        <f t="shared" si="1"/>
        <v>5.5372333333333339E-3</v>
      </c>
      <c r="AK47" s="66">
        <v>4.4412333333333338</v>
      </c>
      <c r="AL47" s="67">
        <f>2.4495*0.251860393428141</f>
        <v>0.61693203370223137</v>
      </c>
      <c r="AM47" s="27">
        <v>1.0960000000000001</v>
      </c>
      <c r="AO47" s="65">
        <v>6152.8438160000005</v>
      </c>
      <c r="AP47" s="67">
        <f>2.4495*185.067613692415</f>
        <v>453.32311973957053</v>
      </c>
      <c r="AS47" s="65">
        <v>50.234483375000003</v>
      </c>
      <c r="AT47" s="67">
        <f>2.4495*4.4871461705761</f>
        <v>10.991264544826157</v>
      </c>
      <c r="AV47" s="56"/>
      <c r="AW47" s="57"/>
      <c r="AX47" s="37"/>
      <c r="AY47" s="38">
        <v>27.326215050413076</v>
      </c>
      <c r="AZ47" s="38"/>
      <c r="BA47" s="38">
        <v>0.22310306204782923</v>
      </c>
      <c r="BB47" s="38"/>
      <c r="BC47" s="39"/>
      <c r="BD47" s="38"/>
      <c r="BE47" s="37">
        <f t="shared" si="8"/>
        <v>0.24677829731981354</v>
      </c>
      <c r="BF47" s="27">
        <f>(AI47-AI48)/AI48</f>
        <v>-0.1144913243956395</v>
      </c>
      <c r="BI47" s="22"/>
      <c r="BN47" s="63">
        <v>22332.437523333338</v>
      </c>
      <c r="BP47" s="63">
        <v>14607.832156666665</v>
      </c>
      <c r="BT47" s="63">
        <v>36.200940821666663</v>
      </c>
      <c r="BV47" s="63">
        <v>5602.2916976666666</v>
      </c>
    </row>
    <row r="48" spans="1:75" s="27" customFormat="1">
      <c r="A48" s="25" t="s">
        <v>208</v>
      </c>
      <c r="B48" s="26" t="s">
        <v>66</v>
      </c>
      <c r="C48" s="27" t="s">
        <v>38</v>
      </c>
      <c r="D48" s="27" t="s">
        <v>36</v>
      </c>
      <c r="E48" s="27">
        <v>79</v>
      </c>
      <c r="F48" s="28"/>
      <c r="J48" s="27" t="s">
        <v>67</v>
      </c>
      <c r="K48" s="27">
        <v>6.7</v>
      </c>
      <c r="L48" s="27">
        <v>0.3</v>
      </c>
      <c r="M48" s="27" t="s">
        <v>284</v>
      </c>
      <c r="R48" s="27">
        <v>0.3</v>
      </c>
      <c r="S48" s="27">
        <v>0.3</v>
      </c>
      <c r="T48" s="26" t="s">
        <v>68</v>
      </c>
      <c r="U48" s="26">
        <v>7.5</v>
      </c>
      <c r="V48" s="64" t="s">
        <v>64</v>
      </c>
      <c r="W48" s="26">
        <v>113.4</v>
      </c>
      <c r="X48" s="26" t="s">
        <v>69</v>
      </c>
      <c r="Y48" s="26" t="s">
        <v>62</v>
      </c>
      <c r="AF48" s="94">
        <v>3.0000000000000001E-3</v>
      </c>
      <c r="AG48" s="65">
        <f>2.4495*0.0021082203134702</f>
        <v>5.1640856578452545E-3</v>
      </c>
      <c r="AH48" s="27">
        <v>6</v>
      </c>
      <c r="AI48" s="40">
        <f t="shared" si="5"/>
        <v>6.253166666666667</v>
      </c>
      <c r="AJ48" s="31">
        <f t="shared" si="1"/>
        <v>6.2531666666666673E-3</v>
      </c>
      <c r="AK48" s="66">
        <v>4.3871666666666664</v>
      </c>
      <c r="AL48" s="67">
        <f>2.4495*0.204115091172712</f>
        <v>0.49997991582755807</v>
      </c>
      <c r="AM48" s="27">
        <v>1.8660000000000001</v>
      </c>
      <c r="AO48" s="65">
        <v>5030.869842666666</v>
      </c>
      <c r="AP48" s="67">
        <f>2.4495*280.678185088394</f>
        <v>687.52121437402116</v>
      </c>
      <c r="AS48" s="65">
        <v>28.598803868333331</v>
      </c>
      <c r="AT48" s="67">
        <f>2.4495*3.01199880274941</f>
        <v>7.3778910673346791</v>
      </c>
      <c r="AV48" s="56"/>
      <c r="AW48" s="57"/>
      <c r="AX48" s="37"/>
      <c r="AY48" s="38">
        <v>22.071264478085777</v>
      </c>
      <c r="AZ48" s="38"/>
      <c r="BA48" s="38">
        <v>0.12546771903768972</v>
      </c>
      <c r="BB48" s="38"/>
      <c r="BC48" s="39"/>
      <c r="BD48" s="38"/>
      <c r="BE48" s="37">
        <f t="shared" si="8"/>
        <v>0.42533145918018467</v>
      </c>
      <c r="BI48" s="22"/>
      <c r="BJ48" s="23"/>
      <c r="BN48" s="63">
        <v>21464.784750000003</v>
      </c>
      <c r="BP48" s="63">
        <v>16847.522309999997</v>
      </c>
      <c r="BT48" s="63">
        <v>40.095978405000004</v>
      </c>
      <c r="BV48" s="63">
        <v>5727.0624791666669</v>
      </c>
    </row>
    <row r="49" spans="1:74" s="15" customFormat="1">
      <c r="A49" s="68" t="s">
        <v>209</v>
      </c>
      <c r="B49" s="14"/>
      <c r="C49" s="14" t="s">
        <v>35</v>
      </c>
      <c r="D49" s="14" t="s">
        <v>60</v>
      </c>
      <c r="E49" s="14" t="s">
        <v>132</v>
      </c>
      <c r="F49" s="14"/>
      <c r="G49" s="14"/>
      <c r="H49" s="14"/>
      <c r="I49" s="14"/>
      <c r="K49" s="15">
        <v>7.4</v>
      </c>
      <c r="L49" s="15">
        <v>0.8</v>
      </c>
      <c r="M49" s="15" t="s">
        <v>285</v>
      </c>
      <c r="N49" s="15">
        <v>7.6</v>
      </c>
      <c r="O49" s="15">
        <v>7.6</v>
      </c>
      <c r="P49" s="15" t="s">
        <v>62</v>
      </c>
      <c r="Q49" s="15" t="s">
        <v>62</v>
      </c>
      <c r="R49" s="15">
        <v>1.4</v>
      </c>
      <c r="S49" s="15">
        <v>1.4</v>
      </c>
      <c r="T49" s="14"/>
      <c r="U49" s="14"/>
      <c r="V49" s="14"/>
      <c r="W49" s="14"/>
      <c r="X49" s="14"/>
      <c r="Y49" s="14"/>
      <c r="AF49" s="15">
        <v>22.2</v>
      </c>
      <c r="AG49" s="15">
        <f>2*2.3</f>
        <v>4.5999999999999996</v>
      </c>
      <c r="AH49" s="15">
        <v>4</v>
      </c>
      <c r="AK49" s="70">
        <v>176</v>
      </c>
      <c r="AO49" s="69">
        <v>3769.7265927994858</v>
      </c>
      <c r="AS49" s="70">
        <v>65</v>
      </c>
      <c r="AW49" s="71"/>
      <c r="AY49" s="15">
        <v>663.47188033270947</v>
      </c>
      <c r="BA49" s="15">
        <v>11.44</v>
      </c>
      <c r="BJ49" s="23"/>
      <c r="BK49" s="27"/>
      <c r="BN49" s="69">
        <v>27100.597348528565</v>
      </c>
      <c r="BP49" s="69">
        <v>30589.267439056275</v>
      </c>
      <c r="BR49" s="69">
        <v>20.227669268842558</v>
      </c>
      <c r="BT49" s="69">
        <v>87.717640005948056</v>
      </c>
      <c r="BV49" s="69">
        <v>11192.05152390884</v>
      </c>
    </row>
    <row r="50" spans="1:74" s="15" customFormat="1">
      <c r="A50" s="68" t="s">
        <v>209</v>
      </c>
      <c r="B50" s="14"/>
      <c r="C50" s="14" t="s">
        <v>38</v>
      </c>
      <c r="D50" s="14" t="s">
        <v>60</v>
      </c>
      <c r="E50" s="14" t="s">
        <v>132</v>
      </c>
      <c r="F50" s="14"/>
      <c r="G50" s="14"/>
      <c r="H50" s="14"/>
      <c r="I50" s="14"/>
      <c r="K50" s="15">
        <v>7.4</v>
      </c>
      <c r="L50" s="15">
        <v>0.8</v>
      </c>
      <c r="M50" s="15" t="s">
        <v>285</v>
      </c>
      <c r="N50" s="15">
        <v>7.6</v>
      </c>
      <c r="O50" s="15">
        <v>7.6</v>
      </c>
      <c r="P50" s="15" t="s">
        <v>62</v>
      </c>
      <c r="Q50" s="15" t="s">
        <v>62</v>
      </c>
      <c r="R50" s="15">
        <v>1.4</v>
      </c>
      <c r="S50" s="15">
        <v>1.4</v>
      </c>
      <c r="T50" s="14"/>
      <c r="U50" s="14"/>
      <c r="V50" s="14"/>
      <c r="W50" s="14"/>
      <c r="X50" s="14"/>
      <c r="Y50" s="14"/>
      <c r="AF50" s="15">
        <v>3.8</v>
      </c>
      <c r="AG50" s="15">
        <f>2*1</f>
        <v>2</v>
      </c>
      <c r="AH50" s="15">
        <v>4</v>
      </c>
      <c r="AK50" s="70">
        <v>122</v>
      </c>
      <c r="AO50" s="69">
        <v>2421.5549881878187</v>
      </c>
      <c r="AS50" s="70">
        <v>62</v>
      </c>
      <c r="AW50" s="71"/>
      <c r="AY50" s="15">
        <v>295.42970855891389</v>
      </c>
      <c r="BA50" s="15">
        <v>7.5640000000000001</v>
      </c>
      <c r="BJ50" s="23"/>
      <c r="BK50" s="27"/>
      <c r="BN50" s="69">
        <v>29561.28520620969</v>
      </c>
      <c r="BP50" s="69">
        <v>29336.903986906065</v>
      </c>
      <c r="BR50" s="69">
        <v>7.1953508237588952</v>
      </c>
      <c r="BT50" s="69">
        <v>187.87419720981339</v>
      </c>
      <c r="BV50" s="69">
        <v>12389.456827610993</v>
      </c>
    </row>
    <row r="51" spans="1:74" s="15" customFormat="1">
      <c r="A51" s="68" t="s">
        <v>209</v>
      </c>
      <c r="B51" s="14"/>
      <c r="C51" s="14" t="s">
        <v>35</v>
      </c>
      <c r="D51" s="14" t="s">
        <v>60</v>
      </c>
      <c r="E51" s="14" t="s">
        <v>132</v>
      </c>
      <c r="F51" s="14"/>
      <c r="G51" s="14"/>
      <c r="H51" s="14"/>
      <c r="I51" s="14"/>
      <c r="K51" s="15">
        <v>7.4</v>
      </c>
      <c r="L51" s="15">
        <v>0.8</v>
      </c>
      <c r="M51" s="15" t="s">
        <v>285</v>
      </c>
      <c r="N51" s="15">
        <v>7.6</v>
      </c>
      <c r="O51" s="15">
        <v>7.6</v>
      </c>
      <c r="P51" s="15" t="s">
        <v>62</v>
      </c>
      <c r="Q51" s="15" t="s">
        <v>62</v>
      </c>
      <c r="R51" s="15">
        <v>1.4</v>
      </c>
      <c r="S51" s="15">
        <v>1.4</v>
      </c>
      <c r="T51" s="14"/>
      <c r="U51" s="14"/>
      <c r="V51" s="14"/>
      <c r="W51" s="14"/>
      <c r="X51" s="14"/>
      <c r="Y51" s="14"/>
      <c r="AF51" s="15">
        <v>18.899999999999999</v>
      </c>
      <c r="AG51" s="15">
        <f>2*3.1</f>
        <v>6.2</v>
      </c>
      <c r="AH51" s="15">
        <v>4</v>
      </c>
      <c r="AK51" s="70">
        <v>171</v>
      </c>
      <c r="AO51" s="69">
        <v>3626.7815750999571</v>
      </c>
      <c r="AS51" s="70">
        <v>57</v>
      </c>
      <c r="AW51" s="71"/>
      <c r="AX51" s="69"/>
      <c r="AY51" s="15">
        <v>620.17964934209272</v>
      </c>
      <c r="BA51" s="15">
        <v>9.7469999999999999</v>
      </c>
      <c r="BJ51" s="23"/>
      <c r="BK51" s="27"/>
      <c r="BN51" s="69">
        <v>25613.273819957503</v>
      </c>
      <c r="BP51" s="69">
        <v>30495.161009484757</v>
      </c>
      <c r="BR51" s="69">
        <v>21.766359562465318</v>
      </c>
      <c r="BT51" s="69">
        <v>76.559157861698523</v>
      </c>
      <c r="BV51" s="69">
        <v>11306.883668883323</v>
      </c>
    </row>
    <row r="52" spans="1:74" s="15" customFormat="1">
      <c r="A52" s="68" t="s">
        <v>209</v>
      </c>
      <c r="B52" s="14"/>
      <c r="C52" s="14" t="s">
        <v>38</v>
      </c>
      <c r="D52" s="14" t="s">
        <v>60</v>
      </c>
      <c r="E52" s="14" t="s">
        <v>132</v>
      </c>
      <c r="F52" s="14"/>
      <c r="G52" s="14"/>
      <c r="H52" s="14"/>
      <c r="I52" s="14"/>
      <c r="K52" s="15">
        <v>7.4</v>
      </c>
      <c r="L52" s="15">
        <v>0.8</v>
      </c>
      <c r="M52" s="15" t="s">
        <v>285</v>
      </c>
      <c r="N52" s="15">
        <v>7.6</v>
      </c>
      <c r="O52" s="15">
        <v>7.6</v>
      </c>
      <c r="P52" s="15" t="s">
        <v>62</v>
      </c>
      <c r="Q52" s="15" t="s">
        <v>62</v>
      </c>
      <c r="R52" s="15">
        <v>1.4</v>
      </c>
      <c r="S52" s="15">
        <v>1.4</v>
      </c>
      <c r="T52" s="14"/>
      <c r="U52" s="14"/>
      <c r="V52" s="14"/>
      <c r="W52" s="14"/>
      <c r="X52" s="14"/>
      <c r="Y52" s="14"/>
      <c r="AF52" s="15">
        <v>2</v>
      </c>
      <c r="AG52" s="15">
        <f>2*1.1</f>
        <v>2.2000000000000002</v>
      </c>
      <c r="AH52" s="15">
        <v>4</v>
      </c>
      <c r="AK52" s="70">
        <v>111</v>
      </c>
      <c r="AO52" s="69">
        <v>2379.4107465110674</v>
      </c>
      <c r="AS52" s="70">
        <v>60</v>
      </c>
      <c r="AW52" s="71"/>
      <c r="AX52" s="69"/>
      <c r="AY52" s="15">
        <v>264.11459286272844</v>
      </c>
      <c r="BA52" s="15">
        <v>6.66</v>
      </c>
      <c r="BJ52" s="23"/>
      <c r="BK52" s="27"/>
      <c r="BN52" s="69">
        <v>27675.968204841211</v>
      </c>
      <c r="BP52" s="69">
        <v>30615.518486723238</v>
      </c>
      <c r="BR52" s="69">
        <v>7.3324883012109332</v>
      </c>
      <c r="BT52" s="69">
        <v>195.14157997620748</v>
      </c>
      <c r="BV52" s="69">
        <v>12325.556360156752</v>
      </c>
    </row>
    <row r="53" spans="1:74" s="27" customFormat="1">
      <c r="A53" s="25" t="s">
        <v>210</v>
      </c>
      <c r="B53" s="26" t="s">
        <v>70</v>
      </c>
      <c r="C53" s="27" t="s">
        <v>35</v>
      </c>
      <c r="D53" s="27" t="s">
        <v>36</v>
      </c>
      <c r="E53" s="27">
        <v>42</v>
      </c>
      <c r="F53" s="28" t="s">
        <v>71</v>
      </c>
      <c r="J53" s="27" t="s">
        <v>72</v>
      </c>
      <c r="K53" s="27">
        <v>6</v>
      </c>
      <c r="M53" s="15" t="s">
        <v>283</v>
      </c>
      <c r="O53" s="27">
        <v>3.3</v>
      </c>
      <c r="P53" s="27" t="s">
        <v>73</v>
      </c>
      <c r="T53" s="26"/>
      <c r="U53" s="26"/>
      <c r="V53" s="26"/>
      <c r="W53" s="26"/>
      <c r="X53" s="26"/>
      <c r="Y53" s="26"/>
      <c r="AF53" s="27">
        <v>15.0029</v>
      </c>
      <c r="AG53" s="27">
        <f>1.732*(18.0551-AF53)</f>
        <v>5.2864103999999985</v>
      </c>
      <c r="AH53" s="27">
        <v>3</v>
      </c>
      <c r="AJ53" s="31"/>
      <c r="AK53" s="27">
        <v>1.8786</v>
      </c>
      <c r="AL53" s="27">
        <f>1.7321*(2.0035-AK53)</f>
        <v>0.21633928999999963</v>
      </c>
      <c r="AV53" s="56"/>
      <c r="AW53" s="57"/>
      <c r="AX53" s="37"/>
      <c r="AY53" s="38"/>
      <c r="AZ53" s="38"/>
      <c r="BA53" s="38"/>
      <c r="BB53" s="38"/>
      <c r="BC53" s="39"/>
      <c r="BD53" s="38"/>
      <c r="BE53" s="37"/>
      <c r="BI53" s="22"/>
      <c r="BJ53" s="23"/>
    </row>
    <row r="54" spans="1:74" s="27" customFormat="1">
      <c r="A54" s="25" t="s">
        <v>210</v>
      </c>
      <c r="B54" s="26" t="s">
        <v>70</v>
      </c>
      <c r="C54" s="27" t="s">
        <v>38</v>
      </c>
      <c r="D54" s="27" t="s">
        <v>36</v>
      </c>
      <c r="E54" s="27">
        <v>42</v>
      </c>
      <c r="F54" s="28" t="s">
        <v>71</v>
      </c>
      <c r="J54" s="27" t="s">
        <v>72</v>
      </c>
      <c r="K54" s="27">
        <v>6</v>
      </c>
      <c r="M54" s="15" t="s">
        <v>283</v>
      </c>
      <c r="O54" s="27">
        <v>3.3</v>
      </c>
      <c r="P54" s="27" t="s">
        <v>73</v>
      </c>
      <c r="T54" s="26"/>
      <c r="U54" s="26"/>
      <c r="V54" s="26"/>
      <c r="W54" s="26"/>
      <c r="X54" s="26"/>
      <c r="Y54" s="26"/>
      <c r="AJ54" s="31"/>
      <c r="AK54" s="27">
        <v>1.8956</v>
      </c>
      <c r="AL54" s="27">
        <f>1.7321*(1.9668-AK54)</f>
        <v>0.12332552000000026</v>
      </c>
      <c r="AV54" s="56"/>
      <c r="AW54" s="57"/>
      <c r="AX54" s="37"/>
      <c r="AY54" s="38"/>
      <c r="AZ54" s="38"/>
      <c r="BA54" s="38"/>
      <c r="BB54" s="38"/>
      <c r="BC54" s="39"/>
      <c r="BD54" s="38"/>
      <c r="BE54" s="37"/>
      <c r="BI54" s="22"/>
      <c r="BJ54" s="23"/>
    </row>
    <row r="55" spans="1:74" s="27" customFormat="1">
      <c r="A55" s="25" t="s">
        <v>210</v>
      </c>
      <c r="B55" s="26" t="s">
        <v>70</v>
      </c>
      <c r="C55" s="27" t="s">
        <v>35</v>
      </c>
      <c r="D55" s="27" t="s">
        <v>36</v>
      </c>
      <c r="E55" s="27">
        <v>42</v>
      </c>
      <c r="F55" s="28" t="s">
        <v>74</v>
      </c>
      <c r="J55" s="27" t="s">
        <v>72</v>
      </c>
      <c r="K55" s="27">
        <v>6</v>
      </c>
      <c r="M55" s="15" t="s">
        <v>283</v>
      </c>
      <c r="O55" s="27">
        <v>3.3</v>
      </c>
      <c r="P55" s="27" t="s">
        <v>73</v>
      </c>
      <c r="T55" s="26"/>
      <c r="U55" s="26"/>
      <c r="V55" s="26"/>
      <c r="W55" s="26"/>
      <c r="X55" s="26"/>
      <c r="Y55" s="26"/>
      <c r="AF55" s="27">
        <v>31.360600000000002</v>
      </c>
      <c r="AG55" s="27">
        <f>1.732*(33.1964-AF55)</f>
        <v>3.1796055999999919</v>
      </c>
      <c r="AH55" s="27">
        <v>3</v>
      </c>
      <c r="AJ55" s="31"/>
      <c r="AK55" s="27">
        <v>2.8090999999999999</v>
      </c>
      <c r="AL55" s="27">
        <f>1.7321*(2.9342-AK55)</f>
        <v>0.21668571000000036</v>
      </c>
      <c r="AV55" s="56"/>
      <c r="AW55" s="57"/>
      <c r="AX55" s="37"/>
      <c r="AY55" s="38"/>
      <c r="AZ55" s="38"/>
      <c r="BA55" s="38"/>
      <c r="BB55" s="38"/>
      <c r="BC55" s="39"/>
      <c r="BD55" s="38"/>
      <c r="BE55" s="37"/>
      <c r="BI55" s="22"/>
      <c r="BJ55" s="23"/>
    </row>
    <row r="56" spans="1:74" s="27" customFormat="1">
      <c r="A56" s="25" t="s">
        <v>210</v>
      </c>
      <c r="B56" s="26" t="s">
        <v>70</v>
      </c>
      <c r="C56" s="27" t="s">
        <v>38</v>
      </c>
      <c r="D56" s="27" t="s">
        <v>36</v>
      </c>
      <c r="E56" s="27">
        <v>42</v>
      </c>
      <c r="F56" s="28" t="s">
        <v>74</v>
      </c>
      <c r="J56" s="27" t="s">
        <v>72</v>
      </c>
      <c r="K56" s="27">
        <v>6</v>
      </c>
      <c r="M56" s="15" t="s">
        <v>283</v>
      </c>
      <c r="O56" s="27">
        <v>3.3</v>
      </c>
      <c r="P56" s="27" t="s">
        <v>73</v>
      </c>
      <c r="T56" s="26"/>
      <c r="U56" s="26"/>
      <c r="V56" s="26"/>
      <c r="W56" s="26"/>
      <c r="X56" s="26"/>
      <c r="Y56" s="26"/>
      <c r="AJ56" s="31"/>
      <c r="AK56" s="27">
        <v>2.7012999999999998</v>
      </c>
      <c r="AL56" s="27">
        <f>1.7321*(2.8082-AK56)</f>
        <v>0.18516148999999998</v>
      </c>
      <c r="AV56" s="56"/>
      <c r="AW56" s="57"/>
      <c r="AX56" s="37"/>
      <c r="AY56" s="38"/>
      <c r="AZ56" s="38"/>
      <c r="BA56" s="38"/>
      <c r="BB56" s="38"/>
      <c r="BC56" s="39"/>
      <c r="BD56" s="38"/>
      <c r="BE56" s="37"/>
      <c r="BI56" s="22"/>
      <c r="BJ56" s="23"/>
    </row>
    <row r="57" spans="1:74" s="27" customFormat="1">
      <c r="A57" s="25" t="s">
        <v>210</v>
      </c>
      <c r="B57" s="26" t="s">
        <v>70</v>
      </c>
      <c r="C57" s="27" t="s">
        <v>35</v>
      </c>
      <c r="D57" s="27" t="s">
        <v>36</v>
      </c>
      <c r="E57" s="27">
        <v>42</v>
      </c>
      <c r="F57" s="28" t="s">
        <v>75</v>
      </c>
      <c r="J57" s="27" t="s">
        <v>72</v>
      </c>
      <c r="K57" s="27">
        <v>6</v>
      </c>
      <c r="M57" s="15" t="s">
        <v>283</v>
      </c>
      <c r="O57" s="27">
        <v>3.3</v>
      </c>
      <c r="P57" s="27" t="s">
        <v>73</v>
      </c>
      <c r="T57" s="26"/>
      <c r="U57" s="26"/>
      <c r="V57" s="26"/>
      <c r="W57" s="26"/>
      <c r="X57" s="26"/>
      <c r="Y57" s="26"/>
      <c r="AF57" s="27">
        <v>24.444500000000001</v>
      </c>
      <c r="AG57" s="27">
        <f>1.732*(26.1226-AF57)</f>
        <v>2.9064691999999948</v>
      </c>
      <c r="AH57" s="27">
        <v>3</v>
      </c>
      <c r="AJ57" s="31"/>
      <c r="AK57" s="27">
        <v>2.5013000000000001</v>
      </c>
      <c r="AL57" s="27">
        <f>1.7321*(2.6082-AK57)</f>
        <v>0.18516148999999998</v>
      </c>
      <c r="AV57" s="56"/>
      <c r="AW57" s="57"/>
      <c r="AX57" s="37"/>
      <c r="AY57" s="38"/>
      <c r="AZ57" s="38"/>
      <c r="BA57" s="38"/>
      <c r="BB57" s="38"/>
      <c r="BC57" s="39"/>
      <c r="BD57" s="38"/>
      <c r="BE57" s="37"/>
      <c r="BI57" s="22"/>
      <c r="BJ57" s="23"/>
    </row>
    <row r="58" spans="1:74" s="27" customFormat="1">
      <c r="A58" s="25" t="s">
        <v>210</v>
      </c>
      <c r="B58" s="26" t="s">
        <v>70</v>
      </c>
      <c r="C58" s="27" t="s">
        <v>38</v>
      </c>
      <c r="D58" s="27" t="s">
        <v>36</v>
      </c>
      <c r="E58" s="27">
        <v>42</v>
      </c>
      <c r="F58" s="28" t="s">
        <v>75</v>
      </c>
      <c r="J58" s="27" t="s">
        <v>72</v>
      </c>
      <c r="K58" s="27">
        <v>6</v>
      </c>
      <c r="M58" s="15" t="s">
        <v>283</v>
      </c>
      <c r="O58" s="27">
        <v>3.3</v>
      </c>
      <c r="P58" s="27" t="s">
        <v>73</v>
      </c>
      <c r="T58" s="26"/>
      <c r="U58" s="26"/>
      <c r="V58" s="26"/>
      <c r="W58" s="26"/>
      <c r="X58" s="26"/>
      <c r="Y58" s="26"/>
      <c r="AJ58" s="31"/>
      <c r="AK58" s="27">
        <v>2.5181</v>
      </c>
      <c r="AL58" s="27">
        <f>1.7321*(2.6255-AK58)</f>
        <v>0.18602754000000027</v>
      </c>
      <c r="AV58" s="56"/>
      <c r="AW58" s="57"/>
      <c r="AX58" s="37"/>
      <c r="AY58" s="38"/>
      <c r="AZ58" s="38"/>
      <c r="BA58" s="38"/>
      <c r="BB58" s="38"/>
      <c r="BC58" s="39"/>
      <c r="BD58" s="38"/>
      <c r="BE58" s="37"/>
      <c r="BI58" s="22"/>
      <c r="BJ58" s="23"/>
    </row>
    <row r="59" spans="1:74" s="15" customFormat="1">
      <c r="A59" s="13" t="s">
        <v>211</v>
      </c>
      <c r="B59" s="72" t="s">
        <v>76</v>
      </c>
      <c r="C59" s="15" t="s">
        <v>35</v>
      </c>
      <c r="D59" s="15" t="s">
        <v>36</v>
      </c>
      <c r="E59" s="15">
        <v>64</v>
      </c>
      <c r="F59" s="16" t="s">
        <v>37</v>
      </c>
      <c r="J59" s="15" t="s">
        <v>51</v>
      </c>
      <c r="K59" s="15">
        <v>7.1</v>
      </c>
      <c r="M59" s="27" t="s">
        <v>284</v>
      </c>
      <c r="N59" s="15">
        <v>2.5</v>
      </c>
      <c r="Q59" s="14" t="s">
        <v>42</v>
      </c>
      <c r="T59" s="14" t="s">
        <v>43</v>
      </c>
      <c r="U59" s="14">
        <v>2.5000000000000001E-2</v>
      </c>
      <c r="V59" s="14"/>
      <c r="W59" s="14">
        <v>2.5</v>
      </c>
      <c r="X59" s="14" t="s">
        <v>69</v>
      </c>
      <c r="Y59" s="14" t="s">
        <v>42</v>
      </c>
      <c r="AF59" s="15">
        <v>66.3</v>
      </c>
      <c r="AG59" s="15" t="s">
        <v>132</v>
      </c>
      <c r="AH59" s="15">
        <v>3</v>
      </c>
      <c r="AJ59" s="24"/>
      <c r="AV59" s="19"/>
      <c r="AW59" s="58"/>
      <c r="AX59" s="21"/>
      <c r="AY59" s="51"/>
      <c r="AZ59" s="51"/>
      <c r="BA59" s="51"/>
      <c r="BB59" s="51"/>
      <c r="BC59" s="52"/>
      <c r="BD59" s="51"/>
      <c r="BE59" s="21"/>
      <c r="BI59" s="22"/>
      <c r="BJ59" s="23"/>
      <c r="BK59" s="27"/>
    </row>
    <row r="60" spans="1:74" s="15" customFormat="1">
      <c r="A60" s="13" t="s">
        <v>211</v>
      </c>
      <c r="B60" s="72" t="s">
        <v>76</v>
      </c>
      <c r="C60" s="15" t="s">
        <v>38</v>
      </c>
      <c r="D60" s="15" t="s">
        <v>36</v>
      </c>
      <c r="E60" s="15">
        <v>64</v>
      </c>
      <c r="F60" s="16" t="s">
        <v>37</v>
      </c>
      <c r="J60" s="15" t="s">
        <v>51</v>
      </c>
      <c r="K60" s="15">
        <v>7.1</v>
      </c>
      <c r="M60" s="27" t="s">
        <v>284</v>
      </c>
      <c r="N60" s="15">
        <v>2.5</v>
      </c>
      <c r="Q60" s="14" t="s">
        <v>42</v>
      </c>
      <c r="T60" s="14" t="s">
        <v>43</v>
      </c>
      <c r="U60" s="14">
        <v>2.5000000000000001E-2</v>
      </c>
      <c r="V60" s="14"/>
      <c r="W60" s="14">
        <v>2.5</v>
      </c>
      <c r="X60" s="14" t="s">
        <v>69</v>
      </c>
      <c r="Y60" s="14" t="s">
        <v>42</v>
      </c>
      <c r="AF60" s="15">
        <v>4.3</v>
      </c>
      <c r="AG60" s="15" t="s">
        <v>132</v>
      </c>
      <c r="AH60" s="15">
        <v>3</v>
      </c>
      <c r="AJ60" s="24"/>
      <c r="AV60" s="19"/>
      <c r="AW60" s="58"/>
      <c r="AX60" s="21"/>
      <c r="AY60" s="51"/>
      <c r="AZ60" s="51"/>
      <c r="BA60" s="51"/>
      <c r="BB60" s="51"/>
      <c r="BC60" s="52"/>
      <c r="BD60" s="51"/>
      <c r="BE60" s="21"/>
      <c r="BI60" s="22"/>
      <c r="BJ60" s="23"/>
      <c r="BK60" s="27"/>
    </row>
    <row r="61" spans="1:74" s="15" customFormat="1">
      <c r="A61" s="13" t="s">
        <v>211</v>
      </c>
      <c r="B61" s="72" t="s">
        <v>76</v>
      </c>
      <c r="C61" s="15" t="s">
        <v>35</v>
      </c>
      <c r="D61" s="15" t="s">
        <v>36</v>
      </c>
      <c r="E61" s="15">
        <v>64</v>
      </c>
      <c r="F61" s="16" t="s">
        <v>52</v>
      </c>
      <c r="J61" s="15" t="s">
        <v>51</v>
      </c>
      <c r="K61" s="15">
        <v>7.1</v>
      </c>
      <c r="M61" s="27" t="s">
        <v>284</v>
      </c>
      <c r="N61" s="15">
        <v>2.5</v>
      </c>
      <c r="Q61" s="14" t="s">
        <v>42</v>
      </c>
      <c r="T61" s="14" t="s">
        <v>43</v>
      </c>
      <c r="U61" s="14">
        <v>2.5000000000000001E-2</v>
      </c>
      <c r="V61" s="14"/>
      <c r="W61" s="14">
        <v>2.5</v>
      </c>
      <c r="X61" s="14" t="s">
        <v>69</v>
      </c>
      <c r="Y61" s="14" t="s">
        <v>42</v>
      </c>
      <c r="AF61" s="15">
        <v>20.7</v>
      </c>
      <c r="AG61" s="15" t="s">
        <v>132</v>
      </c>
      <c r="AH61" s="15">
        <v>3</v>
      </c>
      <c r="AJ61" s="24"/>
      <c r="AV61" s="19"/>
      <c r="AW61" s="58"/>
      <c r="AX61" s="21"/>
      <c r="AY61" s="51"/>
      <c r="AZ61" s="51"/>
      <c r="BA61" s="51"/>
      <c r="BB61" s="51"/>
      <c r="BC61" s="52"/>
      <c r="BD61" s="51"/>
      <c r="BE61" s="21"/>
      <c r="BI61" s="22"/>
      <c r="BJ61" s="23"/>
      <c r="BK61" s="27"/>
    </row>
    <row r="62" spans="1:74" s="15" customFormat="1">
      <c r="A62" s="13" t="s">
        <v>211</v>
      </c>
      <c r="B62" s="72" t="s">
        <v>76</v>
      </c>
      <c r="C62" s="15" t="s">
        <v>38</v>
      </c>
      <c r="D62" s="15" t="s">
        <v>36</v>
      </c>
      <c r="E62" s="15">
        <v>64</v>
      </c>
      <c r="F62" s="16" t="s">
        <v>52</v>
      </c>
      <c r="J62" s="15" t="s">
        <v>51</v>
      </c>
      <c r="K62" s="15">
        <v>7.1</v>
      </c>
      <c r="M62" s="27" t="s">
        <v>284</v>
      </c>
      <c r="N62" s="15">
        <v>2.5</v>
      </c>
      <c r="Q62" s="14" t="s">
        <v>42</v>
      </c>
      <c r="T62" s="14" t="s">
        <v>43</v>
      </c>
      <c r="U62" s="14">
        <v>2.5000000000000001E-2</v>
      </c>
      <c r="V62" s="14"/>
      <c r="W62" s="14">
        <v>2.5</v>
      </c>
      <c r="X62" s="14" t="s">
        <v>69</v>
      </c>
      <c r="Y62" s="14" t="s">
        <v>42</v>
      </c>
      <c r="AF62" s="15">
        <v>3.7</v>
      </c>
      <c r="AG62" s="15" t="s">
        <v>132</v>
      </c>
      <c r="AH62" s="15">
        <v>3</v>
      </c>
      <c r="AJ62" s="24"/>
      <c r="AV62" s="19"/>
      <c r="AW62" s="58"/>
      <c r="AX62" s="21"/>
      <c r="AY62" s="51"/>
      <c r="AZ62" s="51"/>
      <c r="BA62" s="51"/>
      <c r="BB62" s="51"/>
      <c r="BC62" s="52"/>
      <c r="BD62" s="51"/>
      <c r="BE62" s="21"/>
      <c r="BI62" s="22"/>
      <c r="BJ62" s="23"/>
      <c r="BK62" s="27"/>
    </row>
    <row r="63" spans="1:74" s="15" customFormat="1">
      <c r="A63" s="13" t="s">
        <v>211</v>
      </c>
      <c r="B63" s="72" t="s">
        <v>76</v>
      </c>
      <c r="C63" s="15" t="s">
        <v>35</v>
      </c>
      <c r="D63" s="15" t="s">
        <v>36</v>
      </c>
      <c r="E63" s="15">
        <v>64</v>
      </c>
      <c r="F63" s="16" t="s">
        <v>55</v>
      </c>
      <c r="J63" s="15" t="s">
        <v>51</v>
      </c>
      <c r="K63" s="15">
        <v>7.1</v>
      </c>
      <c r="M63" s="27" t="s">
        <v>284</v>
      </c>
      <c r="N63" s="15">
        <v>2.5</v>
      </c>
      <c r="Q63" s="14" t="s">
        <v>42</v>
      </c>
      <c r="T63" s="14" t="s">
        <v>43</v>
      </c>
      <c r="U63" s="14">
        <v>2.5000000000000001E-2</v>
      </c>
      <c r="V63" s="14"/>
      <c r="W63" s="14">
        <v>2.5</v>
      </c>
      <c r="X63" s="14" t="s">
        <v>69</v>
      </c>
      <c r="Y63" s="14" t="s">
        <v>42</v>
      </c>
      <c r="AF63" s="15">
        <v>96</v>
      </c>
      <c r="AG63" s="15" t="s">
        <v>132</v>
      </c>
      <c r="AH63" s="15">
        <v>3</v>
      </c>
      <c r="AJ63" s="24"/>
      <c r="AV63" s="19"/>
      <c r="AW63" s="58"/>
      <c r="AX63" s="21"/>
      <c r="AY63" s="51"/>
      <c r="AZ63" s="51"/>
      <c r="BA63" s="51"/>
      <c r="BB63" s="51"/>
      <c r="BC63" s="52"/>
      <c r="BD63" s="51"/>
      <c r="BE63" s="21"/>
      <c r="BI63" s="22"/>
      <c r="BJ63" s="23"/>
      <c r="BK63" s="27"/>
      <c r="BM63" s="15">
        <f>(AF63-AF64)/AF64*100</f>
        <v>26.315789473684209</v>
      </c>
    </row>
    <row r="64" spans="1:74" s="15" customFormat="1">
      <c r="A64" s="13" t="s">
        <v>211</v>
      </c>
      <c r="B64" s="72" t="s">
        <v>76</v>
      </c>
      <c r="C64" s="15" t="s">
        <v>38</v>
      </c>
      <c r="D64" s="15" t="s">
        <v>36</v>
      </c>
      <c r="E64" s="15">
        <v>64</v>
      </c>
      <c r="F64" s="16" t="s">
        <v>55</v>
      </c>
      <c r="J64" s="15" t="s">
        <v>51</v>
      </c>
      <c r="K64" s="15">
        <v>7.1</v>
      </c>
      <c r="M64" s="27" t="s">
        <v>284</v>
      </c>
      <c r="N64" s="15">
        <v>2.5</v>
      </c>
      <c r="Q64" s="14" t="s">
        <v>42</v>
      </c>
      <c r="T64" s="14" t="s">
        <v>43</v>
      </c>
      <c r="U64" s="14">
        <v>2.5000000000000001E-2</v>
      </c>
      <c r="V64" s="14"/>
      <c r="W64" s="14">
        <v>2.5</v>
      </c>
      <c r="X64" s="14" t="s">
        <v>69</v>
      </c>
      <c r="Y64" s="14" t="s">
        <v>42</v>
      </c>
      <c r="AF64" s="15">
        <v>76</v>
      </c>
      <c r="AG64" s="15" t="s">
        <v>132</v>
      </c>
      <c r="AH64" s="15">
        <v>3</v>
      </c>
      <c r="AJ64" s="24"/>
      <c r="AK64" s="24"/>
      <c r="AV64" s="19"/>
      <c r="AW64" s="58"/>
      <c r="AX64" s="21"/>
      <c r="AY64" s="51"/>
      <c r="AZ64" s="51"/>
      <c r="BA64" s="51"/>
      <c r="BB64" s="51"/>
      <c r="BC64" s="52"/>
      <c r="BD64" s="51"/>
      <c r="BE64" s="21"/>
      <c r="BI64" s="22"/>
      <c r="BJ64" s="23"/>
      <c r="BK64" s="27"/>
    </row>
    <row r="65" spans="1:65" s="15" customFormat="1">
      <c r="A65" s="13" t="s">
        <v>211</v>
      </c>
      <c r="B65" s="72" t="s">
        <v>76</v>
      </c>
      <c r="C65" s="15" t="s">
        <v>35</v>
      </c>
      <c r="D65" s="15" t="s">
        <v>36</v>
      </c>
      <c r="E65" s="15">
        <v>64</v>
      </c>
      <c r="F65" s="16" t="s">
        <v>54</v>
      </c>
      <c r="J65" s="15" t="s">
        <v>53</v>
      </c>
      <c r="K65" s="15">
        <v>5</v>
      </c>
      <c r="M65" s="15" t="s">
        <v>283</v>
      </c>
      <c r="N65" s="15">
        <v>2.5</v>
      </c>
      <c r="Q65" s="14" t="s">
        <v>42</v>
      </c>
      <c r="T65" s="14" t="s">
        <v>43</v>
      </c>
      <c r="U65" s="14">
        <v>2.5000000000000001E-2</v>
      </c>
      <c r="V65" s="14"/>
      <c r="W65" s="14">
        <v>2.5</v>
      </c>
      <c r="X65" s="14" t="s">
        <v>69</v>
      </c>
      <c r="Y65" s="14" t="s">
        <v>42</v>
      </c>
      <c r="AF65" s="15">
        <v>82</v>
      </c>
      <c r="AG65" s="15" t="s">
        <v>132</v>
      </c>
      <c r="AH65" s="15">
        <v>3</v>
      </c>
      <c r="AJ65" s="24"/>
      <c r="AV65" s="19"/>
      <c r="AW65" s="58"/>
      <c r="AX65" s="21"/>
      <c r="AY65" s="51"/>
      <c r="AZ65" s="51"/>
      <c r="BA65" s="51"/>
      <c r="BB65" s="51"/>
      <c r="BC65" s="52"/>
      <c r="BD65" s="51"/>
      <c r="BE65" s="21"/>
      <c r="BI65" s="22"/>
      <c r="BJ65" s="23"/>
      <c r="BK65" s="27"/>
      <c r="BM65" s="15">
        <f>(AF65-AF66)/AF66*100</f>
        <v>173.33333333333334</v>
      </c>
    </row>
    <row r="66" spans="1:65" s="15" customFormat="1" ht="16" customHeight="1">
      <c r="A66" s="13" t="s">
        <v>211</v>
      </c>
      <c r="B66" s="72" t="s">
        <v>76</v>
      </c>
      <c r="C66" s="15" t="s">
        <v>38</v>
      </c>
      <c r="D66" s="15" t="s">
        <v>36</v>
      </c>
      <c r="E66" s="15">
        <v>64</v>
      </c>
      <c r="F66" s="16" t="s">
        <v>54</v>
      </c>
      <c r="J66" s="15" t="s">
        <v>53</v>
      </c>
      <c r="K66" s="15">
        <v>5</v>
      </c>
      <c r="M66" s="15" t="s">
        <v>283</v>
      </c>
      <c r="N66" s="15">
        <v>2.5</v>
      </c>
      <c r="Q66" s="14" t="s">
        <v>42</v>
      </c>
      <c r="T66" s="14" t="s">
        <v>43</v>
      </c>
      <c r="U66" s="14">
        <v>2.5000000000000001E-2</v>
      </c>
      <c r="V66" s="14"/>
      <c r="W66" s="14">
        <v>2.5</v>
      </c>
      <c r="X66" s="14" t="s">
        <v>69</v>
      </c>
      <c r="Y66" s="14" t="s">
        <v>42</v>
      </c>
      <c r="AF66" s="15">
        <v>30</v>
      </c>
      <c r="AG66" s="15" t="s">
        <v>132</v>
      </c>
      <c r="AH66" s="15">
        <v>3</v>
      </c>
      <c r="AJ66" s="24"/>
      <c r="AV66" s="19"/>
      <c r="AW66" s="58"/>
      <c r="AX66" s="21"/>
      <c r="AY66" s="51"/>
      <c r="AZ66" s="51"/>
      <c r="BA66" s="51"/>
      <c r="BB66" s="51"/>
      <c r="BC66" s="52"/>
      <c r="BD66" s="51"/>
      <c r="BE66" s="21"/>
      <c r="BI66" s="22"/>
      <c r="BJ66" s="23"/>
      <c r="BK66" s="27"/>
    </row>
    <row r="67" spans="1:65" s="15" customFormat="1">
      <c r="A67" s="13" t="s">
        <v>211</v>
      </c>
      <c r="B67" s="72" t="s">
        <v>76</v>
      </c>
      <c r="C67" s="15" t="s">
        <v>35</v>
      </c>
      <c r="D67" s="15" t="s">
        <v>36</v>
      </c>
      <c r="E67" s="15">
        <v>64</v>
      </c>
      <c r="F67" s="16" t="s">
        <v>39</v>
      </c>
      <c r="J67" s="15" t="s">
        <v>53</v>
      </c>
      <c r="K67" s="15">
        <v>5</v>
      </c>
      <c r="M67" s="15" t="s">
        <v>283</v>
      </c>
      <c r="N67" s="15">
        <v>2.5</v>
      </c>
      <c r="Q67" s="14" t="s">
        <v>42</v>
      </c>
      <c r="T67" s="14" t="s">
        <v>43</v>
      </c>
      <c r="U67" s="14">
        <v>2.5000000000000001E-2</v>
      </c>
      <c r="V67" s="14"/>
      <c r="W67" s="14">
        <v>2.5</v>
      </c>
      <c r="X67" s="14" t="s">
        <v>69</v>
      </c>
      <c r="Y67" s="14" t="s">
        <v>42</v>
      </c>
      <c r="AF67" s="15">
        <v>68</v>
      </c>
      <c r="AG67" s="15" t="s">
        <v>132</v>
      </c>
      <c r="AH67" s="15">
        <v>3</v>
      </c>
      <c r="AJ67" s="24"/>
      <c r="AV67" s="19"/>
      <c r="AW67" s="58"/>
      <c r="AX67" s="21"/>
      <c r="AY67" s="51"/>
      <c r="AZ67" s="51"/>
      <c r="BA67" s="51"/>
      <c r="BB67" s="51"/>
      <c r="BC67" s="52"/>
      <c r="BD67" s="51"/>
      <c r="BE67" s="21"/>
      <c r="BI67" s="22"/>
      <c r="BJ67" s="23"/>
      <c r="BK67" s="27"/>
      <c r="BM67" s="15">
        <f>(AF67-AF68)/AF68*100</f>
        <v>140.28268551236749</v>
      </c>
    </row>
    <row r="68" spans="1:65" s="15" customFormat="1">
      <c r="A68" s="13" t="s">
        <v>211</v>
      </c>
      <c r="B68" s="72" t="s">
        <v>76</v>
      </c>
      <c r="C68" s="15" t="s">
        <v>38</v>
      </c>
      <c r="D68" s="15" t="s">
        <v>36</v>
      </c>
      <c r="E68" s="15">
        <v>64</v>
      </c>
      <c r="F68" s="16" t="s">
        <v>39</v>
      </c>
      <c r="J68" s="15" t="s">
        <v>53</v>
      </c>
      <c r="K68" s="15">
        <v>5</v>
      </c>
      <c r="M68" s="15" t="s">
        <v>283</v>
      </c>
      <c r="N68" s="15">
        <v>2.5</v>
      </c>
      <c r="Q68" s="14" t="s">
        <v>42</v>
      </c>
      <c r="T68" s="14" t="s">
        <v>43</v>
      </c>
      <c r="U68" s="14">
        <v>2.5000000000000001E-2</v>
      </c>
      <c r="V68" s="14"/>
      <c r="W68" s="14">
        <v>2.5</v>
      </c>
      <c r="X68" s="14" t="s">
        <v>69</v>
      </c>
      <c r="Y68" s="14" t="s">
        <v>42</v>
      </c>
      <c r="AF68" s="15">
        <v>28.3</v>
      </c>
      <c r="AG68" s="15" t="s">
        <v>132</v>
      </c>
      <c r="AH68" s="15">
        <v>3</v>
      </c>
      <c r="AJ68" s="24"/>
      <c r="AV68" s="19"/>
      <c r="AW68" s="58"/>
      <c r="AX68" s="21"/>
      <c r="AY68" s="51"/>
      <c r="AZ68" s="51"/>
      <c r="BA68" s="51"/>
      <c r="BB68" s="51"/>
      <c r="BC68" s="52"/>
      <c r="BD68" s="51"/>
      <c r="BE68" s="21"/>
      <c r="BI68" s="22"/>
      <c r="BJ68" s="23"/>
      <c r="BK68" s="27"/>
    </row>
    <row r="69" spans="1:65" s="27" customFormat="1">
      <c r="A69" s="25" t="s">
        <v>212</v>
      </c>
      <c r="B69" s="26" t="s">
        <v>77</v>
      </c>
      <c r="C69" s="27" t="s">
        <v>35</v>
      </c>
      <c r="D69" s="27" t="s">
        <v>36</v>
      </c>
      <c r="E69" s="27">
        <v>45</v>
      </c>
      <c r="F69" s="28"/>
      <c r="G69" s="27" t="s">
        <v>78</v>
      </c>
      <c r="N69" s="27">
        <v>55</v>
      </c>
      <c r="Q69" s="26" t="s">
        <v>42</v>
      </c>
      <c r="T69" s="26" t="s">
        <v>43</v>
      </c>
      <c r="U69" s="26">
        <v>0.5</v>
      </c>
      <c r="V69" s="26" t="s">
        <v>58</v>
      </c>
      <c r="W69" s="26">
        <v>55</v>
      </c>
      <c r="X69" s="26" t="s">
        <v>44</v>
      </c>
      <c r="Y69" s="26" t="s">
        <v>42</v>
      </c>
      <c r="AF69" s="15" t="s">
        <v>132</v>
      </c>
      <c r="AG69" s="15" t="s">
        <v>132</v>
      </c>
      <c r="AH69" s="27">
        <v>5</v>
      </c>
      <c r="AI69" s="27">
        <f t="shared" ref="AI69:AI80" si="9">AK69+AM69</f>
        <v>3.25</v>
      </c>
      <c r="AJ69" s="31">
        <f t="shared" si="1"/>
        <v>3.2499999999999999E-3</v>
      </c>
      <c r="AK69" s="27">
        <v>2.52</v>
      </c>
      <c r="AL69" s="27">
        <f>2.236*0.05</f>
        <v>0.11180000000000001</v>
      </c>
      <c r="AM69" s="27">
        <v>0.73</v>
      </c>
      <c r="AN69" s="27">
        <f>2.236*0.05</f>
        <v>0.11180000000000001</v>
      </c>
      <c r="AV69" s="56"/>
      <c r="AW69" s="57"/>
      <c r="AX69" s="37"/>
      <c r="AY69" s="38"/>
      <c r="AZ69" s="38"/>
      <c r="BA69" s="38"/>
      <c r="BB69" s="38"/>
      <c r="BC69" s="39"/>
      <c r="BD69" s="38"/>
      <c r="BE69" s="37">
        <f t="shared" ref="BE69:BE80" si="10">AM69/AK69</f>
        <v>0.28968253968253965</v>
      </c>
      <c r="BF69" s="27">
        <f>(AI69-AI70)/AI70</f>
        <v>2.5236593059936932E-2</v>
      </c>
      <c r="BI69" s="22"/>
      <c r="BJ69" s="23">
        <f t="shared" si="4"/>
        <v>2.5236593059936934</v>
      </c>
    </row>
    <row r="70" spans="1:65" s="27" customFormat="1">
      <c r="A70" s="25" t="s">
        <v>212</v>
      </c>
      <c r="B70" s="26" t="s">
        <v>77</v>
      </c>
      <c r="C70" s="27" t="s">
        <v>38</v>
      </c>
      <c r="D70" s="27" t="s">
        <v>36</v>
      </c>
      <c r="E70" s="27">
        <v>45</v>
      </c>
      <c r="F70" s="28"/>
      <c r="G70" s="27" t="s">
        <v>78</v>
      </c>
      <c r="N70" s="27">
        <v>55</v>
      </c>
      <c r="Q70" s="26" t="s">
        <v>42</v>
      </c>
      <c r="T70" s="26" t="s">
        <v>43</v>
      </c>
      <c r="U70" s="26">
        <v>0.5</v>
      </c>
      <c r="V70" s="26" t="s">
        <v>58</v>
      </c>
      <c r="W70" s="26">
        <v>55</v>
      </c>
      <c r="X70" s="26" t="s">
        <v>44</v>
      </c>
      <c r="Y70" s="26" t="s">
        <v>42</v>
      </c>
      <c r="AF70" s="15" t="s">
        <v>132</v>
      </c>
      <c r="AG70" s="15" t="s">
        <v>132</v>
      </c>
      <c r="AH70" s="27">
        <v>5</v>
      </c>
      <c r="AI70" s="27">
        <f t="shared" si="9"/>
        <v>3.17</v>
      </c>
      <c r="AJ70" s="31">
        <f t="shared" si="1"/>
        <v>3.1700000000000001E-3</v>
      </c>
      <c r="AK70" s="27">
        <v>2.4</v>
      </c>
      <c r="AL70" s="27">
        <f>2.236*0.07</f>
        <v>0.15652000000000002</v>
      </c>
      <c r="AM70" s="27">
        <v>0.77</v>
      </c>
      <c r="AN70" s="27">
        <f>2.236*0.08</f>
        <v>0.17888000000000001</v>
      </c>
      <c r="AV70" s="56"/>
      <c r="AW70" s="57"/>
      <c r="AX70" s="37"/>
      <c r="AY70" s="38"/>
      <c r="AZ70" s="38"/>
      <c r="BA70" s="38"/>
      <c r="BB70" s="38"/>
      <c r="BC70" s="39"/>
      <c r="BD70" s="38"/>
      <c r="BE70" s="37">
        <f t="shared" si="10"/>
        <v>0.32083333333333336</v>
      </c>
      <c r="BI70" s="22"/>
      <c r="BJ70" s="23">
        <f>BF71*100</f>
        <v>-2.0270270270270139</v>
      </c>
    </row>
    <row r="71" spans="1:65" s="27" customFormat="1">
      <c r="A71" s="25" t="s">
        <v>212</v>
      </c>
      <c r="B71" s="26" t="s">
        <v>77</v>
      </c>
      <c r="C71" s="27" t="s">
        <v>35</v>
      </c>
      <c r="D71" s="27" t="s">
        <v>36</v>
      </c>
      <c r="E71" s="27">
        <v>45</v>
      </c>
      <c r="F71" s="28"/>
      <c r="G71" s="27" t="s">
        <v>79</v>
      </c>
      <c r="N71" s="27">
        <v>55</v>
      </c>
      <c r="Q71" s="26" t="s">
        <v>42</v>
      </c>
      <c r="T71" s="26" t="s">
        <v>43</v>
      </c>
      <c r="U71" s="26">
        <v>0.5</v>
      </c>
      <c r="V71" s="26" t="s">
        <v>58</v>
      </c>
      <c r="W71" s="26">
        <v>55</v>
      </c>
      <c r="X71" s="26" t="s">
        <v>44</v>
      </c>
      <c r="Y71" s="26" t="s">
        <v>42</v>
      </c>
      <c r="AF71" s="15" t="s">
        <v>132</v>
      </c>
      <c r="AG71" s="15" t="s">
        <v>132</v>
      </c>
      <c r="AH71" s="27">
        <v>5</v>
      </c>
      <c r="AI71" s="27">
        <f t="shared" si="9"/>
        <v>2.9000000000000004</v>
      </c>
      <c r="AJ71" s="31">
        <f t="shared" si="1"/>
        <v>2.9000000000000002E-3</v>
      </c>
      <c r="AK71" s="27">
        <v>2.37</v>
      </c>
      <c r="AL71" s="27">
        <f>2.236*0.06</f>
        <v>0.13416</v>
      </c>
      <c r="AM71" s="27">
        <v>0.53</v>
      </c>
      <c r="AN71" s="27">
        <f>2.236*0.03</f>
        <v>6.7080000000000001E-2</v>
      </c>
      <c r="AV71" s="56"/>
      <c r="AW71" s="57"/>
      <c r="AX71" s="37"/>
      <c r="AY71" s="38"/>
      <c r="AZ71" s="38"/>
      <c r="BA71" s="38"/>
      <c r="BB71" s="38"/>
      <c r="BC71" s="39"/>
      <c r="BD71" s="38"/>
      <c r="BE71" s="37">
        <f t="shared" si="10"/>
        <v>0.22362869198312235</v>
      </c>
      <c r="BF71" s="27">
        <f>(AI71-AI72)/AI72</f>
        <v>-2.027027027027014E-2</v>
      </c>
      <c r="BI71" s="22"/>
      <c r="BJ71" s="23">
        <f>BF73*100</f>
        <v>1.2903225806451624</v>
      </c>
    </row>
    <row r="72" spans="1:65" s="27" customFormat="1">
      <c r="A72" s="25" t="s">
        <v>212</v>
      </c>
      <c r="B72" s="26" t="s">
        <v>77</v>
      </c>
      <c r="C72" s="27" t="s">
        <v>38</v>
      </c>
      <c r="D72" s="27" t="s">
        <v>36</v>
      </c>
      <c r="E72" s="27">
        <v>45</v>
      </c>
      <c r="F72" s="28"/>
      <c r="G72" s="27" t="s">
        <v>79</v>
      </c>
      <c r="N72" s="27">
        <v>55</v>
      </c>
      <c r="Q72" s="26" t="s">
        <v>42</v>
      </c>
      <c r="T72" s="26" t="s">
        <v>43</v>
      </c>
      <c r="U72" s="26">
        <v>0.5</v>
      </c>
      <c r="V72" s="26" t="s">
        <v>58</v>
      </c>
      <c r="W72" s="26">
        <v>55</v>
      </c>
      <c r="X72" s="26" t="s">
        <v>44</v>
      </c>
      <c r="Y72" s="26" t="s">
        <v>42</v>
      </c>
      <c r="AF72" s="15" t="s">
        <v>132</v>
      </c>
      <c r="AG72" s="15" t="s">
        <v>132</v>
      </c>
      <c r="AH72" s="27">
        <v>5</v>
      </c>
      <c r="AI72" s="27">
        <f t="shared" si="9"/>
        <v>2.96</v>
      </c>
      <c r="AJ72" s="31">
        <f t="shared" si="1"/>
        <v>2.96E-3</v>
      </c>
      <c r="AK72" s="27">
        <v>2.35</v>
      </c>
      <c r="AL72" s="27">
        <f>2.236*0.09</f>
        <v>0.20124</v>
      </c>
      <c r="AM72" s="27">
        <v>0.61</v>
      </c>
      <c r="AN72" s="27">
        <f>2.236*0.06</f>
        <v>0.13416</v>
      </c>
      <c r="AV72" s="56"/>
      <c r="AW72" s="57"/>
      <c r="AX72" s="37"/>
      <c r="AY72" s="38"/>
      <c r="AZ72" s="38"/>
      <c r="BA72" s="38"/>
      <c r="BB72" s="38"/>
      <c r="BC72" s="39"/>
      <c r="BD72" s="38"/>
      <c r="BE72" s="37">
        <f t="shared" si="10"/>
        <v>0.25957446808510637</v>
      </c>
      <c r="BI72" s="22"/>
      <c r="BJ72" s="23">
        <f>BF75*100</f>
        <v>0.66006600660067538</v>
      </c>
    </row>
    <row r="73" spans="1:65" s="27" customFormat="1">
      <c r="A73" s="25" t="s">
        <v>212</v>
      </c>
      <c r="B73" s="26" t="s">
        <v>77</v>
      </c>
      <c r="C73" s="27" t="s">
        <v>35</v>
      </c>
      <c r="D73" s="27" t="s">
        <v>36</v>
      </c>
      <c r="E73" s="27">
        <v>45</v>
      </c>
      <c r="F73" s="28"/>
      <c r="G73" s="27" t="s">
        <v>80</v>
      </c>
      <c r="N73" s="27">
        <v>55</v>
      </c>
      <c r="Q73" s="26" t="s">
        <v>42</v>
      </c>
      <c r="T73" s="26" t="s">
        <v>43</v>
      </c>
      <c r="U73" s="26">
        <v>0.5</v>
      </c>
      <c r="V73" s="26" t="s">
        <v>58</v>
      </c>
      <c r="W73" s="26">
        <v>55</v>
      </c>
      <c r="X73" s="26" t="s">
        <v>44</v>
      </c>
      <c r="Y73" s="26" t="s">
        <v>42</v>
      </c>
      <c r="AF73" s="15" t="s">
        <v>132</v>
      </c>
      <c r="AG73" s="15" t="s">
        <v>132</v>
      </c>
      <c r="AH73" s="27">
        <v>5</v>
      </c>
      <c r="AI73" s="27">
        <f t="shared" si="9"/>
        <v>3.14</v>
      </c>
      <c r="AJ73" s="31">
        <f t="shared" si="1"/>
        <v>3.14E-3</v>
      </c>
      <c r="AK73" s="27">
        <v>2.48</v>
      </c>
      <c r="AL73" s="27">
        <f>2.236*0.13</f>
        <v>0.29068000000000005</v>
      </c>
      <c r="AM73" s="27">
        <v>0.66</v>
      </c>
      <c r="AN73" s="27">
        <f>2.236*0.05</f>
        <v>0.11180000000000001</v>
      </c>
      <c r="AV73" s="56"/>
      <c r="AW73" s="57"/>
      <c r="AX73" s="37"/>
      <c r="AY73" s="38"/>
      <c r="AZ73" s="38"/>
      <c r="BA73" s="38"/>
      <c r="BB73" s="38"/>
      <c r="BC73" s="39"/>
      <c r="BD73" s="38"/>
      <c r="BE73" s="37">
        <f t="shared" si="10"/>
        <v>0.26612903225806456</v>
      </c>
      <c r="BF73" s="27">
        <f>(AI73-AI74)/AI74</f>
        <v>1.2903225806451623E-2</v>
      </c>
      <c r="BI73" s="22"/>
    </row>
    <row r="74" spans="1:65" s="27" customFormat="1">
      <c r="A74" s="25" t="s">
        <v>212</v>
      </c>
      <c r="B74" s="26" t="s">
        <v>77</v>
      </c>
      <c r="C74" s="27" t="s">
        <v>38</v>
      </c>
      <c r="D74" s="27" t="s">
        <v>36</v>
      </c>
      <c r="E74" s="27">
        <v>45</v>
      </c>
      <c r="F74" s="28"/>
      <c r="G74" s="27" t="s">
        <v>80</v>
      </c>
      <c r="N74" s="27">
        <v>55</v>
      </c>
      <c r="Q74" s="26" t="s">
        <v>42</v>
      </c>
      <c r="T74" s="26" t="s">
        <v>43</v>
      </c>
      <c r="U74" s="26">
        <v>0.5</v>
      </c>
      <c r="V74" s="26" t="s">
        <v>58</v>
      </c>
      <c r="W74" s="26">
        <v>55</v>
      </c>
      <c r="X74" s="26" t="s">
        <v>44</v>
      </c>
      <c r="Y74" s="26" t="s">
        <v>42</v>
      </c>
      <c r="AF74" s="15" t="s">
        <v>132</v>
      </c>
      <c r="AG74" s="15" t="s">
        <v>132</v>
      </c>
      <c r="AH74" s="27">
        <v>5</v>
      </c>
      <c r="AI74" s="27">
        <f t="shared" si="9"/>
        <v>3.1</v>
      </c>
      <c r="AJ74" s="31">
        <f t="shared" ref="AJ74:AJ136" si="11">AI74/1000</f>
        <v>3.0999999999999999E-3</v>
      </c>
      <c r="AK74" s="27">
        <v>2.4500000000000002</v>
      </c>
      <c r="AL74" s="27">
        <f>2.236*0.1</f>
        <v>0.22360000000000002</v>
      </c>
      <c r="AM74" s="27">
        <v>0.65</v>
      </c>
      <c r="AN74" s="27">
        <f>2.236*0.01</f>
        <v>2.2360000000000001E-2</v>
      </c>
      <c r="AV74" s="56"/>
      <c r="AW74" s="57"/>
      <c r="AX74" s="37"/>
      <c r="AY74" s="38"/>
      <c r="AZ74" s="38"/>
      <c r="BA74" s="38"/>
      <c r="BB74" s="38"/>
      <c r="BC74" s="39"/>
      <c r="BD74" s="38"/>
      <c r="BE74" s="37">
        <f t="shared" si="10"/>
        <v>0.26530612244897961</v>
      </c>
      <c r="BI74" s="22"/>
      <c r="BJ74" s="23"/>
    </row>
    <row r="75" spans="1:65" s="27" customFormat="1">
      <c r="A75" s="25" t="s">
        <v>212</v>
      </c>
      <c r="B75" s="26" t="s">
        <v>77</v>
      </c>
      <c r="C75" s="27" t="s">
        <v>35</v>
      </c>
      <c r="D75" s="27" t="s">
        <v>36</v>
      </c>
      <c r="E75" s="27">
        <v>45</v>
      </c>
      <c r="F75" s="28"/>
      <c r="G75" s="27" t="s">
        <v>81</v>
      </c>
      <c r="N75" s="27">
        <v>55</v>
      </c>
      <c r="Q75" s="26" t="s">
        <v>42</v>
      </c>
      <c r="T75" s="26" t="s">
        <v>43</v>
      </c>
      <c r="U75" s="26">
        <v>0.5</v>
      </c>
      <c r="V75" s="26" t="s">
        <v>58</v>
      </c>
      <c r="W75" s="26">
        <v>55</v>
      </c>
      <c r="X75" s="26" t="s">
        <v>44</v>
      </c>
      <c r="Y75" s="26" t="s">
        <v>42</v>
      </c>
      <c r="AF75" s="27">
        <v>59.4</v>
      </c>
      <c r="AG75" s="27">
        <f>2.236*6.2</f>
        <v>13.863200000000001</v>
      </c>
      <c r="AH75" s="27">
        <v>5</v>
      </c>
      <c r="AI75" s="27">
        <f t="shared" si="9"/>
        <v>3.0500000000000003</v>
      </c>
      <c r="AJ75" s="31">
        <f t="shared" si="11"/>
        <v>3.0500000000000002E-3</v>
      </c>
      <c r="AK75" s="27">
        <v>2.39</v>
      </c>
      <c r="AL75" s="27">
        <f>2.236*0.09</f>
        <v>0.20124</v>
      </c>
      <c r="AM75" s="27">
        <v>0.66</v>
      </c>
      <c r="AN75" s="27">
        <f>2.236*0.04</f>
        <v>8.9440000000000006E-2</v>
      </c>
      <c r="AV75" s="56"/>
      <c r="AW75" s="57"/>
      <c r="AX75" s="37"/>
      <c r="AY75" s="38"/>
      <c r="AZ75" s="38"/>
      <c r="BA75" s="38"/>
      <c r="BB75" s="38"/>
      <c r="BC75" s="39"/>
      <c r="BD75" s="38"/>
      <c r="BE75" s="37">
        <f t="shared" si="10"/>
        <v>0.27615062761506276</v>
      </c>
      <c r="BF75" s="27">
        <f>(AI75-AI76)/AI76</f>
        <v>6.6006600660067534E-3</v>
      </c>
      <c r="BI75" s="22"/>
    </row>
    <row r="76" spans="1:65" s="27" customFormat="1">
      <c r="A76" s="25" t="s">
        <v>212</v>
      </c>
      <c r="B76" s="26" t="s">
        <v>77</v>
      </c>
      <c r="C76" s="27" t="s">
        <v>38</v>
      </c>
      <c r="D76" s="27" t="s">
        <v>36</v>
      </c>
      <c r="E76" s="27">
        <v>45</v>
      </c>
      <c r="F76" s="28"/>
      <c r="G76" s="27" t="s">
        <v>81</v>
      </c>
      <c r="N76" s="27">
        <v>55</v>
      </c>
      <c r="Q76" s="26" t="s">
        <v>42</v>
      </c>
      <c r="T76" s="26" t="s">
        <v>43</v>
      </c>
      <c r="U76" s="26">
        <v>0.5</v>
      </c>
      <c r="V76" s="26" t="s">
        <v>58</v>
      </c>
      <c r="W76" s="26">
        <v>55</v>
      </c>
      <c r="X76" s="26" t="s">
        <v>44</v>
      </c>
      <c r="Y76" s="26" t="s">
        <v>42</v>
      </c>
      <c r="AF76" s="27">
        <v>62.4</v>
      </c>
      <c r="AG76" s="27">
        <f>2.236*3.5</f>
        <v>7.8260000000000005</v>
      </c>
      <c r="AH76" s="27">
        <v>5</v>
      </c>
      <c r="AI76" s="27">
        <f t="shared" si="9"/>
        <v>3.03</v>
      </c>
      <c r="AJ76" s="31">
        <f t="shared" si="11"/>
        <v>3.0299999999999997E-3</v>
      </c>
      <c r="AK76" s="27">
        <v>2.38</v>
      </c>
      <c r="AL76" s="27">
        <f>2.236*0.03</f>
        <v>6.7080000000000001E-2</v>
      </c>
      <c r="AM76" s="27">
        <v>0.65</v>
      </c>
      <c r="AN76" s="27">
        <f>2.236*0.02</f>
        <v>4.4720000000000003E-2</v>
      </c>
      <c r="AV76" s="56"/>
      <c r="AW76" s="57"/>
      <c r="AX76" s="37"/>
      <c r="AY76" s="38"/>
      <c r="AZ76" s="38"/>
      <c r="BA76" s="38"/>
      <c r="BB76" s="38"/>
      <c r="BC76" s="39"/>
      <c r="BD76" s="38"/>
      <c r="BE76" s="37">
        <f t="shared" si="10"/>
        <v>0.27310924369747902</v>
      </c>
      <c r="BI76" s="22"/>
      <c r="BJ76" s="23"/>
    </row>
    <row r="77" spans="1:65" s="15" customFormat="1">
      <c r="A77" s="13" t="s">
        <v>213</v>
      </c>
      <c r="B77" s="73" t="s">
        <v>82</v>
      </c>
      <c r="C77" s="15" t="s">
        <v>35</v>
      </c>
      <c r="D77" s="15" t="s">
        <v>36</v>
      </c>
      <c r="E77" s="15">
        <v>21</v>
      </c>
      <c r="F77" s="16" t="s">
        <v>83</v>
      </c>
      <c r="J77" s="15" t="s">
        <v>84</v>
      </c>
      <c r="K77" s="15">
        <v>4.8</v>
      </c>
      <c r="M77" s="15" t="s">
        <v>283</v>
      </c>
      <c r="N77" s="15">
        <v>14.7</v>
      </c>
      <c r="O77" s="15">
        <v>0.8</v>
      </c>
      <c r="T77" s="14" t="s">
        <v>43</v>
      </c>
      <c r="U77" s="14">
        <v>0.25</v>
      </c>
      <c r="V77" s="14" t="s">
        <v>58</v>
      </c>
      <c r="W77" s="14">
        <v>14.7</v>
      </c>
      <c r="X77" s="14" t="s">
        <v>44</v>
      </c>
      <c r="Y77" s="14"/>
      <c r="AF77" s="15">
        <v>42.8</v>
      </c>
      <c r="AG77" s="15" t="s">
        <v>132</v>
      </c>
      <c r="AI77" s="47">
        <f t="shared" si="9"/>
        <v>0.67630000000000001</v>
      </c>
      <c r="AJ77" s="24">
        <f t="shared" si="11"/>
        <v>6.7630000000000001E-4</v>
      </c>
      <c r="AK77" s="15">
        <v>0.50009999999999999</v>
      </c>
      <c r="AL77" s="61">
        <f>2.236*(0.5607-AK77)</f>
        <v>0.13550159999999997</v>
      </c>
      <c r="AM77" s="15">
        <v>0.1762</v>
      </c>
      <c r="AN77" s="15">
        <f>2.236*(0.2061-AM77)</f>
        <v>6.6856400000000024E-2</v>
      </c>
      <c r="AV77" s="19"/>
      <c r="AW77" s="58"/>
      <c r="AX77" s="21"/>
      <c r="AY77" s="51"/>
      <c r="AZ77" s="51"/>
      <c r="BA77" s="51"/>
      <c r="BB77" s="51"/>
      <c r="BC77" s="52"/>
      <c r="BD77" s="51"/>
      <c r="BE77" s="21">
        <f t="shared" si="10"/>
        <v>0.35232953409318135</v>
      </c>
      <c r="BF77" s="47">
        <f>(AI77-AI78)/AI78</f>
        <v>2.2527970970668318E-2</v>
      </c>
      <c r="BI77" s="22"/>
      <c r="BJ77" s="23">
        <f t="shared" ref="BJ77" si="12">BF77*100</f>
        <v>2.2527970970668316</v>
      </c>
      <c r="BK77" s="27"/>
      <c r="BM77" s="15">
        <f>(AF77-AF78)/AF78*100</f>
        <v>247.96747967479669</v>
      </c>
    </row>
    <row r="78" spans="1:65" s="15" customFormat="1">
      <c r="A78" s="13" t="s">
        <v>213</v>
      </c>
      <c r="B78" s="73" t="s">
        <v>82</v>
      </c>
      <c r="C78" s="15" t="s">
        <v>38</v>
      </c>
      <c r="D78" s="15" t="s">
        <v>36</v>
      </c>
      <c r="E78" s="15">
        <v>21</v>
      </c>
      <c r="F78" s="16" t="s">
        <v>83</v>
      </c>
      <c r="J78" s="15" t="s">
        <v>84</v>
      </c>
      <c r="K78" s="15">
        <v>4.8</v>
      </c>
      <c r="M78" s="15" t="s">
        <v>283</v>
      </c>
      <c r="N78" s="15">
        <v>14.7</v>
      </c>
      <c r="O78" s="15">
        <v>0.8</v>
      </c>
      <c r="T78" s="14" t="s">
        <v>43</v>
      </c>
      <c r="U78" s="14">
        <v>0.25</v>
      </c>
      <c r="V78" s="14" t="s">
        <v>58</v>
      </c>
      <c r="W78" s="14">
        <v>14.7</v>
      </c>
      <c r="X78" s="14" t="s">
        <v>44</v>
      </c>
      <c r="Y78" s="14"/>
      <c r="AF78" s="15">
        <v>12.3</v>
      </c>
      <c r="AG78" s="15" t="s">
        <v>132</v>
      </c>
      <c r="AI78" s="47">
        <f t="shared" si="9"/>
        <v>0.66139999999999999</v>
      </c>
      <c r="AJ78" s="24">
        <f t="shared" si="11"/>
        <v>6.6140000000000003E-4</v>
      </c>
      <c r="AK78" s="15">
        <v>0.5081</v>
      </c>
      <c r="AL78" s="61">
        <f>2.236*(0.6002-AK78)</f>
        <v>0.20593559999999994</v>
      </c>
      <c r="AM78" s="15">
        <v>0.15329999999999999</v>
      </c>
      <c r="AN78" s="15">
        <f>2.236*(0.1865-AM78)</f>
        <v>7.4235200000000029E-2</v>
      </c>
      <c r="AV78" s="19"/>
      <c r="AW78" s="58"/>
      <c r="AX78" s="21"/>
      <c r="AY78" s="51"/>
      <c r="AZ78" s="51"/>
      <c r="BA78" s="51"/>
      <c r="BB78" s="51"/>
      <c r="BC78" s="52"/>
      <c r="BD78" s="51"/>
      <c r="BE78" s="21">
        <f t="shared" si="10"/>
        <v>0.30171226136587287</v>
      </c>
      <c r="BF78" s="47"/>
      <c r="BI78" s="22"/>
      <c r="BJ78" s="23">
        <f>BF79*100</f>
        <v>46.680016863406401</v>
      </c>
      <c r="BK78" s="27"/>
    </row>
    <row r="79" spans="1:65" s="15" customFormat="1">
      <c r="A79" s="13" t="s">
        <v>213</v>
      </c>
      <c r="B79" s="73" t="s">
        <v>82</v>
      </c>
      <c r="C79" s="15" t="s">
        <v>35</v>
      </c>
      <c r="D79" s="15" t="s">
        <v>36</v>
      </c>
      <c r="E79" s="15">
        <v>42</v>
      </c>
      <c r="F79" s="16" t="s">
        <v>83</v>
      </c>
      <c r="J79" s="15" t="s">
        <v>84</v>
      </c>
      <c r="K79" s="15">
        <v>4.8</v>
      </c>
      <c r="M79" s="15" t="s">
        <v>283</v>
      </c>
      <c r="N79" s="15">
        <v>14.7</v>
      </c>
      <c r="O79" s="15">
        <v>0.8</v>
      </c>
      <c r="T79" s="14" t="s">
        <v>43</v>
      </c>
      <c r="U79" s="14">
        <v>0.25</v>
      </c>
      <c r="V79" s="14" t="s">
        <v>58</v>
      </c>
      <c r="W79" s="14">
        <v>14.7</v>
      </c>
      <c r="X79" s="14" t="s">
        <v>44</v>
      </c>
      <c r="Y79" s="14"/>
      <c r="AF79" s="15">
        <v>26.7</v>
      </c>
      <c r="AG79" s="15" t="s">
        <v>132</v>
      </c>
      <c r="AI79" s="47">
        <f t="shared" si="9"/>
        <v>2.7833999999999999</v>
      </c>
      <c r="AJ79" s="24">
        <f t="shared" si="11"/>
        <v>2.7833999999999997E-3</v>
      </c>
      <c r="AK79" s="15">
        <v>2.1124999999999998</v>
      </c>
      <c r="AL79" s="61">
        <f>2.236*(2.1756-AK79)</f>
        <v>0.14109160000000087</v>
      </c>
      <c r="AM79" s="15">
        <v>0.67090000000000005</v>
      </c>
      <c r="AN79" s="15">
        <f>2.236*(0.7257-AM79)</f>
        <v>0.12253279999999993</v>
      </c>
      <c r="AO79" s="15">
        <v>1400</v>
      </c>
      <c r="AP79" s="15">
        <f>2.2361*100</f>
        <v>223.60999999999999</v>
      </c>
      <c r="AV79" s="19"/>
      <c r="AW79" s="58"/>
      <c r="AX79" s="21"/>
      <c r="AY79" s="51">
        <v>2.9574999999999996</v>
      </c>
      <c r="AZ79" s="51"/>
      <c r="BA79" s="51"/>
      <c r="BB79" s="51"/>
      <c r="BC79" s="52"/>
      <c r="BD79" s="51"/>
      <c r="BE79" s="21">
        <f t="shared" si="10"/>
        <v>0.31758579881656812</v>
      </c>
      <c r="BF79" s="47">
        <f>(AI79-AI80)/AI80</f>
        <v>0.46680016863406404</v>
      </c>
      <c r="BI79" s="22"/>
      <c r="BK79" s="27"/>
      <c r="BM79" s="15">
        <f>(AF79-AF80)/AF80*100</f>
        <v>229.62962962962968</v>
      </c>
    </row>
    <row r="80" spans="1:65" s="15" customFormat="1">
      <c r="A80" s="13" t="s">
        <v>213</v>
      </c>
      <c r="B80" s="73" t="s">
        <v>82</v>
      </c>
      <c r="C80" s="15" t="s">
        <v>38</v>
      </c>
      <c r="D80" s="15" t="s">
        <v>36</v>
      </c>
      <c r="E80" s="15">
        <v>42</v>
      </c>
      <c r="F80" s="16" t="s">
        <v>83</v>
      </c>
      <c r="J80" s="15" t="s">
        <v>84</v>
      </c>
      <c r="K80" s="15">
        <v>4.8</v>
      </c>
      <c r="M80" s="15" t="s">
        <v>283</v>
      </c>
      <c r="N80" s="15">
        <v>14.7</v>
      </c>
      <c r="O80" s="15">
        <v>0.8</v>
      </c>
      <c r="T80" s="14" t="s">
        <v>43</v>
      </c>
      <c r="U80" s="14">
        <v>0.25</v>
      </c>
      <c r="V80" s="14" t="s">
        <v>58</v>
      </c>
      <c r="W80" s="14">
        <v>14.7</v>
      </c>
      <c r="X80" s="14" t="s">
        <v>44</v>
      </c>
      <c r="Y80" s="14"/>
      <c r="AF80" s="15">
        <v>8.1</v>
      </c>
      <c r="AG80" s="15" t="s">
        <v>132</v>
      </c>
      <c r="AI80" s="47">
        <f t="shared" si="9"/>
        <v>1.8976</v>
      </c>
      <c r="AJ80" s="24">
        <f t="shared" si="11"/>
        <v>1.8975999999999999E-3</v>
      </c>
      <c r="AK80" s="15">
        <v>1.4716</v>
      </c>
      <c r="AL80" s="61">
        <f>2.236*(1.7239-AK80)</f>
        <v>0.56414279999999994</v>
      </c>
      <c r="AM80" s="15">
        <v>0.42599999999999999</v>
      </c>
      <c r="AN80" s="15">
        <f>2.236*(0.5247-AM80)</f>
        <v>0.22069320000000017</v>
      </c>
      <c r="AO80" s="15">
        <v>1400</v>
      </c>
      <c r="AP80" s="15">
        <f>2.2361*200</f>
        <v>447.21999999999997</v>
      </c>
      <c r="AV80" s="19"/>
      <c r="AW80" s="58"/>
      <c r="AX80" s="21"/>
      <c r="AY80" s="51">
        <v>2.0602399999999998</v>
      </c>
      <c r="AZ80" s="51"/>
      <c r="BA80" s="51"/>
      <c r="BB80" s="51"/>
      <c r="BC80" s="52"/>
      <c r="BD80" s="51"/>
      <c r="BE80" s="21">
        <f t="shared" si="10"/>
        <v>0.2894808371840174</v>
      </c>
      <c r="BI80" s="22"/>
      <c r="BJ80" s="23"/>
      <c r="BK80" s="27"/>
    </row>
    <row r="81" spans="1:62" s="27" customFormat="1">
      <c r="A81" s="25" t="s">
        <v>214</v>
      </c>
      <c r="B81" s="26" t="s">
        <v>85</v>
      </c>
      <c r="C81" s="27" t="s">
        <v>35</v>
      </c>
      <c r="D81" s="27" t="s">
        <v>86</v>
      </c>
      <c r="E81" s="27">
        <v>28</v>
      </c>
      <c r="F81" s="28" t="s">
        <v>71</v>
      </c>
      <c r="J81" s="27" t="s">
        <v>41</v>
      </c>
      <c r="K81" s="27">
        <v>7.1</v>
      </c>
      <c r="M81" s="27" t="s">
        <v>284</v>
      </c>
      <c r="O81" s="27">
        <v>1.1000000000000001</v>
      </c>
      <c r="P81" s="27" t="s">
        <v>73</v>
      </c>
      <c r="T81" s="26" t="s">
        <v>43</v>
      </c>
      <c r="U81" s="26">
        <v>0.25</v>
      </c>
      <c r="V81" s="26" t="s">
        <v>58</v>
      </c>
      <c r="W81" s="26"/>
      <c r="X81" s="26"/>
      <c r="Y81" s="26"/>
      <c r="AF81" s="34">
        <v>4.5999999999999996</v>
      </c>
      <c r="AG81" s="34">
        <f>2.236*(6.12-AF81)</f>
        <v>3.3987200000000013</v>
      </c>
      <c r="AH81" s="27">
        <v>5</v>
      </c>
      <c r="AJ81" s="31"/>
      <c r="AV81" s="56"/>
      <c r="AW81" s="57"/>
      <c r="AX81" s="37"/>
      <c r="AY81" s="38"/>
      <c r="AZ81" s="38"/>
      <c r="BA81" s="38"/>
      <c r="BB81" s="38"/>
      <c r="BC81" s="39"/>
      <c r="BD81" s="38"/>
      <c r="BE81" s="37"/>
      <c r="BI81" s="22"/>
      <c r="BJ81" s="23"/>
    </row>
    <row r="82" spans="1:62" s="27" customFormat="1">
      <c r="A82" s="25" t="s">
        <v>214</v>
      </c>
      <c r="B82" s="26" t="s">
        <v>85</v>
      </c>
      <c r="C82" s="27" t="s">
        <v>38</v>
      </c>
      <c r="D82" s="27" t="s">
        <v>86</v>
      </c>
      <c r="E82" s="27">
        <v>28</v>
      </c>
      <c r="F82" s="28" t="s">
        <v>71</v>
      </c>
      <c r="J82" s="27" t="s">
        <v>41</v>
      </c>
      <c r="K82" s="27">
        <v>7.1</v>
      </c>
      <c r="M82" s="27" t="s">
        <v>284</v>
      </c>
      <c r="O82" s="27">
        <v>1.1000000000000001</v>
      </c>
      <c r="P82" s="27" t="s">
        <v>73</v>
      </c>
      <c r="T82" s="26" t="s">
        <v>43</v>
      </c>
      <c r="U82" s="26">
        <v>0.25</v>
      </c>
      <c r="V82" s="26" t="s">
        <v>58</v>
      </c>
      <c r="W82" s="26"/>
      <c r="X82" s="26"/>
      <c r="Y82" s="26"/>
      <c r="AF82" s="34">
        <v>0</v>
      </c>
      <c r="AG82" s="34">
        <f>2.236*0.13</f>
        <v>0.29068000000000005</v>
      </c>
      <c r="AH82" s="27">
        <v>5</v>
      </c>
      <c r="AJ82" s="31"/>
      <c r="AV82" s="56"/>
      <c r="AW82" s="57"/>
      <c r="AX82" s="37"/>
      <c r="AY82" s="38"/>
      <c r="AZ82" s="38"/>
      <c r="BA82" s="38"/>
      <c r="BB82" s="38"/>
      <c r="BC82" s="39"/>
      <c r="BD82" s="38"/>
      <c r="BE82" s="37"/>
      <c r="BI82" s="22"/>
      <c r="BJ82" s="23"/>
    </row>
    <row r="83" spans="1:62" s="27" customFormat="1">
      <c r="A83" s="25" t="s">
        <v>214</v>
      </c>
      <c r="B83" s="26" t="s">
        <v>85</v>
      </c>
      <c r="C83" s="27" t="s">
        <v>35</v>
      </c>
      <c r="D83" s="27" t="s">
        <v>86</v>
      </c>
      <c r="E83" s="27">
        <v>70</v>
      </c>
      <c r="F83" s="28" t="s">
        <v>71</v>
      </c>
      <c r="J83" s="27" t="s">
        <v>41</v>
      </c>
      <c r="K83" s="27">
        <v>7.1</v>
      </c>
      <c r="M83" s="27" t="s">
        <v>284</v>
      </c>
      <c r="O83" s="27">
        <v>1.1000000000000001</v>
      </c>
      <c r="P83" s="27" t="s">
        <v>73</v>
      </c>
      <c r="T83" s="26" t="s">
        <v>43</v>
      </c>
      <c r="U83" s="26">
        <v>0.25</v>
      </c>
      <c r="V83" s="26" t="s">
        <v>58</v>
      </c>
      <c r="W83" s="26"/>
      <c r="X83" s="26"/>
      <c r="Y83" s="26"/>
      <c r="AF83" s="34">
        <v>23.37</v>
      </c>
      <c r="AG83" s="34">
        <f>2.236*(27.67-AF83)</f>
        <v>9.6148000000000025</v>
      </c>
      <c r="AH83" s="27">
        <v>5</v>
      </c>
      <c r="AJ83" s="31"/>
      <c r="AV83" s="56"/>
      <c r="AW83" s="57"/>
      <c r="AX83" s="37"/>
      <c r="AY83" s="38"/>
      <c r="AZ83" s="38"/>
      <c r="BA83" s="38"/>
      <c r="BB83" s="38"/>
      <c r="BC83" s="39"/>
      <c r="BD83" s="38"/>
      <c r="BE83" s="37"/>
      <c r="BI83" s="22"/>
      <c r="BJ83" s="23"/>
    </row>
    <row r="84" spans="1:62" s="27" customFormat="1">
      <c r="A84" s="25" t="s">
        <v>214</v>
      </c>
      <c r="B84" s="26" t="s">
        <v>85</v>
      </c>
      <c r="C84" s="27" t="s">
        <v>38</v>
      </c>
      <c r="D84" s="27" t="s">
        <v>86</v>
      </c>
      <c r="E84" s="27">
        <v>70</v>
      </c>
      <c r="F84" s="28" t="s">
        <v>71</v>
      </c>
      <c r="J84" s="27" t="s">
        <v>41</v>
      </c>
      <c r="K84" s="27">
        <v>7.1</v>
      </c>
      <c r="M84" s="27" t="s">
        <v>284</v>
      </c>
      <c r="O84" s="27">
        <v>1.1000000000000001</v>
      </c>
      <c r="P84" s="27" t="s">
        <v>73</v>
      </c>
      <c r="T84" s="26" t="s">
        <v>43</v>
      </c>
      <c r="U84" s="26">
        <v>0.25</v>
      </c>
      <c r="V84" s="26" t="s">
        <v>58</v>
      </c>
      <c r="W84" s="26"/>
      <c r="X84" s="26"/>
      <c r="Y84" s="26"/>
      <c r="AF84" s="34">
        <v>0</v>
      </c>
      <c r="AG84" s="34">
        <f>2.236*0.21</f>
        <v>0.46956000000000003</v>
      </c>
      <c r="AH84" s="27">
        <v>5</v>
      </c>
      <c r="AJ84" s="31"/>
      <c r="AV84" s="56"/>
      <c r="AW84" s="57"/>
      <c r="AX84" s="37"/>
      <c r="AY84" s="38"/>
      <c r="AZ84" s="38"/>
      <c r="BA84" s="38"/>
      <c r="BB84" s="38"/>
      <c r="BC84" s="39"/>
      <c r="BD84" s="38"/>
      <c r="BE84" s="37"/>
      <c r="BI84" s="22"/>
      <c r="BJ84" s="23"/>
    </row>
    <row r="85" spans="1:62" s="27" customFormat="1">
      <c r="A85" s="25" t="s">
        <v>214</v>
      </c>
      <c r="B85" s="26" t="s">
        <v>85</v>
      </c>
      <c r="C85" s="27" t="s">
        <v>35</v>
      </c>
      <c r="D85" s="27" t="s">
        <v>86</v>
      </c>
      <c r="E85" s="27">
        <v>112</v>
      </c>
      <c r="F85" s="28" t="s">
        <v>71</v>
      </c>
      <c r="J85" s="27" t="s">
        <v>41</v>
      </c>
      <c r="K85" s="27">
        <v>7.1</v>
      </c>
      <c r="M85" s="27" t="s">
        <v>284</v>
      </c>
      <c r="O85" s="27">
        <v>1.1000000000000001</v>
      </c>
      <c r="P85" s="27" t="s">
        <v>73</v>
      </c>
      <c r="T85" s="26" t="s">
        <v>43</v>
      </c>
      <c r="U85" s="26">
        <v>0.25</v>
      </c>
      <c r="V85" s="26" t="s">
        <v>58</v>
      </c>
      <c r="W85" s="26"/>
      <c r="X85" s="26"/>
      <c r="Y85" s="26"/>
      <c r="AF85" s="34">
        <v>44.23</v>
      </c>
      <c r="AG85" s="34">
        <f>2.236*(46.55-AF85)</f>
        <v>5.187520000000001</v>
      </c>
      <c r="AH85" s="27">
        <v>5</v>
      </c>
      <c r="AJ85" s="31"/>
      <c r="AV85" s="56"/>
      <c r="AW85" s="57"/>
      <c r="AX85" s="37"/>
      <c r="AY85" s="38"/>
      <c r="AZ85" s="38"/>
      <c r="BA85" s="38"/>
      <c r="BB85" s="38"/>
      <c r="BC85" s="39"/>
      <c r="BD85" s="38"/>
      <c r="BE85" s="37"/>
      <c r="BI85" s="22"/>
      <c r="BJ85" s="23"/>
    </row>
    <row r="86" spans="1:62" s="27" customFormat="1">
      <c r="A86" s="25" t="s">
        <v>214</v>
      </c>
      <c r="B86" s="26" t="s">
        <v>85</v>
      </c>
      <c r="C86" s="27" t="s">
        <v>38</v>
      </c>
      <c r="D86" s="27" t="s">
        <v>86</v>
      </c>
      <c r="E86" s="27">
        <v>112</v>
      </c>
      <c r="F86" s="28" t="s">
        <v>71</v>
      </c>
      <c r="J86" s="27" t="s">
        <v>41</v>
      </c>
      <c r="K86" s="27">
        <v>7.1</v>
      </c>
      <c r="M86" s="27" t="s">
        <v>284</v>
      </c>
      <c r="O86" s="27">
        <v>1.1000000000000001</v>
      </c>
      <c r="P86" s="27" t="s">
        <v>73</v>
      </c>
      <c r="T86" s="26" t="s">
        <v>43</v>
      </c>
      <c r="U86" s="26">
        <v>0.25</v>
      </c>
      <c r="V86" s="26" t="s">
        <v>58</v>
      </c>
      <c r="W86" s="26"/>
      <c r="X86" s="26"/>
      <c r="Y86" s="26"/>
      <c r="AF86" s="34">
        <v>0</v>
      </c>
      <c r="AG86" s="34">
        <v>0</v>
      </c>
      <c r="AH86" s="27">
        <v>5</v>
      </c>
      <c r="AJ86" s="31"/>
      <c r="AV86" s="56"/>
      <c r="AW86" s="57"/>
      <c r="AX86" s="37"/>
      <c r="AY86" s="38"/>
      <c r="AZ86" s="38"/>
      <c r="BA86" s="38"/>
      <c r="BB86" s="38"/>
      <c r="BC86" s="39"/>
      <c r="BD86" s="38"/>
      <c r="BE86" s="37"/>
      <c r="BI86" s="22"/>
      <c r="BJ86" s="23"/>
    </row>
    <row r="87" spans="1:62" s="27" customFormat="1">
      <c r="A87" s="25" t="s">
        <v>214</v>
      </c>
      <c r="B87" s="26" t="s">
        <v>85</v>
      </c>
      <c r="C87" s="27" t="s">
        <v>35</v>
      </c>
      <c r="D87" s="27" t="s">
        <v>86</v>
      </c>
      <c r="E87" s="27">
        <v>28</v>
      </c>
      <c r="F87" s="28" t="s">
        <v>87</v>
      </c>
      <c r="J87" s="27" t="s">
        <v>41</v>
      </c>
      <c r="K87" s="27">
        <v>7.1</v>
      </c>
      <c r="M87" s="27" t="s">
        <v>284</v>
      </c>
      <c r="O87" s="27">
        <v>1.1000000000000001</v>
      </c>
      <c r="P87" s="27" t="s">
        <v>73</v>
      </c>
      <c r="T87" s="26" t="s">
        <v>43</v>
      </c>
      <c r="U87" s="26">
        <v>0.25</v>
      </c>
      <c r="V87" s="26" t="s">
        <v>58</v>
      </c>
      <c r="W87" s="26"/>
      <c r="X87" s="26"/>
      <c r="Y87" s="26"/>
      <c r="AF87" s="34">
        <v>0.68510000000000004</v>
      </c>
      <c r="AG87" s="34">
        <f>2.236*(1.3727-AF87)</f>
        <v>1.5374736000000002</v>
      </c>
      <c r="AH87" s="27">
        <v>5</v>
      </c>
      <c r="AJ87" s="31"/>
      <c r="AV87" s="56"/>
      <c r="AW87" s="57"/>
      <c r="AX87" s="37"/>
      <c r="AY87" s="38"/>
      <c r="AZ87" s="38"/>
      <c r="BA87" s="38"/>
      <c r="BB87" s="38"/>
      <c r="BC87" s="39"/>
      <c r="BD87" s="38"/>
      <c r="BE87" s="37"/>
      <c r="BI87" s="22"/>
      <c r="BJ87" s="23"/>
    </row>
    <row r="88" spans="1:62" s="27" customFormat="1">
      <c r="A88" s="25" t="s">
        <v>214</v>
      </c>
      <c r="B88" s="26" t="s">
        <v>85</v>
      </c>
      <c r="C88" s="27" t="s">
        <v>38</v>
      </c>
      <c r="D88" s="27" t="s">
        <v>86</v>
      </c>
      <c r="E88" s="27">
        <v>28</v>
      </c>
      <c r="F88" s="28" t="s">
        <v>87</v>
      </c>
      <c r="J88" s="27" t="s">
        <v>41</v>
      </c>
      <c r="K88" s="27">
        <v>7.1</v>
      </c>
      <c r="M88" s="27" t="s">
        <v>284</v>
      </c>
      <c r="O88" s="27">
        <v>1.1000000000000001</v>
      </c>
      <c r="P88" s="27" t="s">
        <v>73</v>
      </c>
      <c r="T88" s="26" t="s">
        <v>43</v>
      </c>
      <c r="U88" s="26">
        <v>0.25</v>
      </c>
      <c r="V88" s="26" t="s">
        <v>58</v>
      </c>
      <c r="W88" s="26"/>
      <c r="X88" s="26"/>
      <c r="Y88" s="26"/>
      <c r="AF88" s="34">
        <v>0</v>
      </c>
      <c r="AG88" s="34">
        <v>0</v>
      </c>
      <c r="AH88" s="27">
        <v>5</v>
      </c>
      <c r="AJ88" s="31"/>
      <c r="AV88" s="56"/>
      <c r="AW88" s="57"/>
      <c r="AX88" s="37"/>
      <c r="AY88" s="38"/>
      <c r="AZ88" s="38"/>
      <c r="BA88" s="38"/>
      <c r="BB88" s="38"/>
      <c r="BC88" s="39"/>
      <c r="BD88" s="38"/>
      <c r="BE88" s="37"/>
      <c r="BI88" s="22"/>
      <c r="BJ88" s="23"/>
    </row>
    <row r="89" spans="1:62" s="27" customFormat="1">
      <c r="A89" s="25" t="s">
        <v>214</v>
      </c>
      <c r="B89" s="26" t="s">
        <v>85</v>
      </c>
      <c r="C89" s="27" t="s">
        <v>35</v>
      </c>
      <c r="D89" s="27" t="s">
        <v>86</v>
      </c>
      <c r="E89" s="27">
        <v>70</v>
      </c>
      <c r="F89" s="28" t="s">
        <v>87</v>
      </c>
      <c r="J89" s="27" t="s">
        <v>41</v>
      </c>
      <c r="K89" s="27">
        <v>7.1</v>
      </c>
      <c r="M89" s="27" t="s">
        <v>284</v>
      </c>
      <c r="O89" s="27">
        <v>1.1000000000000001</v>
      </c>
      <c r="P89" s="27" t="s">
        <v>73</v>
      </c>
      <c r="T89" s="26" t="s">
        <v>43</v>
      </c>
      <c r="U89" s="26">
        <v>0.25</v>
      </c>
      <c r="V89" s="26" t="s">
        <v>58</v>
      </c>
      <c r="W89" s="26"/>
      <c r="X89" s="26"/>
      <c r="Y89" s="26"/>
      <c r="AF89" s="34">
        <v>5.19</v>
      </c>
      <c r="AG89" s="34">
        <f>2.236*(7.37-AF89)</f>
        <v>4.8744800000000001</v>
      </c>
      <c r="AH89" s="27">
        <v>5</v>
      </c>
      <c r="AJ89" s="31"/>
      <c r="AV89" s="56"/>
      <c r="AW89" s="57"/>
      <c r="AX89" s="37"/>
      <c r="AY89" s="38"/>
      <c r="AZ89" s="38"/>
      <c r="BA89" s="38"/>
      <c r="BB89" s="38"/>
      <c r="BC89" s="39"/>
      <c r="BD89" s="38"/>
      <c r="BE89" s="37"/>
      <c r="BI89" s="22"/>
      <c r="BJ89" s="23"/>
    </row>
    <row r="90" spans="1:62" s="27" customFormat="1">
      <c r="A90" s="25" t="s">
        <v>214</v>
      </c>
      <c r="B90" s="26" t="s">
        <v>85</v>
      </c>
      <c r="C90" s="27" t="s">
        <v>38</v>
      </c>
      <c r="D90" s="27" t="s">
        <v>86</v>
      </c>
      <c r="E90" s="27">
        <v>70</v>
      </c>
      <c r="F90" s="28" t="s">
        <v>87</v>
      </c>
      <c r="J90" s="27" t="s">
        <v>41</v>
      </c>
      <c r="K90" s="27">
        <v>7.1</v>
      </c>
      <c r="M90" s="27" t="s">
        <v>284</v>
      </c>
      <c r="O90" s="27">
        <v>1.1000000000000001</v>
      </c>
      <c r="P90" s="27" t="s">
        <v>73</v>
      </c>
      <c r="T90" s="26" t="s">
        <v>43</v>
      </c>
      <c r="U90" s="26">
        <v>0.25</v>
      </c>
      <c r="V90" s="26" t="s">
        <v>58</v>
      </c>
      <c r="W90" s="26"/>
      <c r="X90" s="26"/>
      <c r="Y90" s="26"/>
      <c r="AF90" s="34">
        <v>0.48299999999999998</v>
      </c>
      <c r="AG90" s="34">
        <f>2.236*(0.99-AF90)</f>
        <v>1.1336520000000001</v>
      </c>
      <c r="AH90" s="27">
        <v>5</v>
      </c>
      <c r="AJ90" s="31"/>
      <c r="AV90" s="56"/>
      <c r="AW90" s="57"/>
      <c r="AX90" s="37"/>
      <c r="AY90" s="38"/>
      <c r="AZ90" s="38"/>
      <c r="BA90" s="38"/>
      <c r="BB90" s="38"/>
      <c r="BC90" s="39"/>
      <c r="BD90" s="38"/>
      <c r="BE90" s="37"/>
      <c r="BI90" s="22"/>
      <c r="BJ90" s="23"/>
    </row>
    <row r="91" spans="1:62" s="27" customFormat="1">
      <c r="A91" s="25" t="s">
        <v>214</v>
      </c>
      <c r="B91" s="26" t="s">
        <v>85</v>
      </c>
      <c r="C91" s="27" t="s">
        <v>35</v>
      </c>
      <c r="D91" s="27" t="s">
        <v>86</v>
      </c>
      <c r="E91" s="27">
        <v>112</v>
      </c>
      <c r="F91" s="28" t="s">
        <v>87</v>
      </c>
      <c r="J91" s="27" t="s">
        <v>41</v>
      </c>
      <c r="K91" s="27">
        <v>7.1</v>
      </c>
      <c r="M91" s="27" t="s">
        <v>284</v>
      </c>
      <c r="O91" s="27">
        <v>1.1000000000000001</v>
      </c>
      <c r="P91" s="27" t="s">
        <v>73</v>
      </c>
      <c r="T91" s="26" t="s">
        <v>43</v>
      </c>
      <c r="U91" s="26">
        <v>0.25</v>
      </c>
      <c r="V91" s="26" t="s">
        <v>58</v>
      </c>
      <c r="W91" s="26"/>
      <c r="X91" s="26"/>
      <c r="Y91" s="26"/>
      <c r="AF91" s="34">
        <v>10.62</v>
      </c>
      <c r="AG91" s="34">
        <f>2.236*(11.65-AF91)</f>
        <v>2.3030800000000027</v>
      </c>
      <c r="AH91" s="27">
        <v>5</v>
      </c>
      <c r="AJ91" s="31"/>
      <c r="AV91" s="56"/>
      <c r="AW91" s="57"/>
      <c r="AX91" s="37"/>
      <c r="AY91" s="38"/>
      <c r="AZ91" s="38"/>
      <c r="BA91" s="38"/>
      <c r="BB91" s="38"/>
      <c r="BC91" s="39"/>
      <c r="BD91" s="38"/>
      <c r="BE91" s="37"/>
      <c r="BI91" s="22"/>
      <c r="BJ91" s="23"/>
    </row>
    <row r="92" spans="1:62" s="27" customFormat="1">
      <c r="A92" s="25" t="s">
        <v>214</v>
      </c>
      <c r="B92" s="26" t="s">
        <v>85</v>
      </c>
      <c r="C92" s="27" t="s">
        <v>38</v>
      </c>
      <c r="D92" s="27" t="s">
        <v>86</v>
      </c>
      <c r="E92" s="27">
        <v>112</v>
      </c>
      <c r="F92" s="28" t="s">
        <v>87</v>
      </c>
      <c r="J92" s="27" t="s">
        <v>41</v>
      </c>
      <c r="K92" s="27">
        <v>7.1</v>
      </c>
      <c r="M92" s="27" t="s">
        <v>284</v>
      </c>
      <c r="O92" s="27">
        <v>1.1000000000000001</v>
      </c>
      <c r="P92" s="27" t="s">
        <v>73</v>
      </c>
      <c r="T92" s="26" t="s">
        <v>43</v>
      </c>
      <c r="U92" s="26">
        <v>0.25</v>
      </c>
      <c r="V92" s="26" t="s">
        <v>58</v>
      </c>
      <c r="W92" s="26"/>
      <c r="X92" s="26"/>
      <c r="Y92" s="26"/>
      <c r="AF92" s="27">
        <v>0</v>
      </c>
      <c r="AG92" s="27">
        <v>0</v>
      </c>
      <c r="AH92" s="27">
        <v>5</v>
      </c>
      <c r="AJ92" s="31"/>
      <c r="AV92" s="56"/>
      <c r="AW92" s="57"/>
      <c r="AX92" s="37"/>
      <c r="AY92" s="38"/>
      <c r="AZ92" s="38"/>
      <c r="BA92" s="38"/>
      <c r="BB92" s="38"/>
      <c r="BC92" s="39"/>
      <c r="BD92" s="38"/>
      <c r="BE92" s="37"/>
      <c r="BI92" s="22"/>
      <c r="BJ92" s="23"/>
    </row>
    <row r="93" spans="1:62" s="27" customFormat="1">
      <c r="A93" s="25" t="s">
        <v>214</v>
      </c>
      <c r="B93" s="26" t="s">
        <v>85</v>
      </c>
      <c r="C93" s="27" t="s">
        <v>35</v>
      </c>
      <c r="D93" s="27" t="s">
        <v>86</v>
      </c>
      <c r="E93" s="27">
        <v>28</v>
      </c>
      <c r="F93" s="28" t="s">
        <v>52</v>
      </c>
      <c r="J93" s="27" t="s">
        <v>41</v>
      </c>
      <c r="K93" s="27">
        <v>7.1</v>
      </c>
      <c r="M93" s="27" t="s">
        <v>284</v>
      </c>
      <c r="O93" s="27">
        <v>1.1000000000000001</v>
      </c>
      <c r="P93" s="27" t="s">
        <v>73</v>
      </c>
      <c r="T93" s="26" t="s">
        <v>43</v>
      </c>
      <c r="U93" s="26">
        <v>0.25</v>
      </c>
      <c r="V93" s="26" t="s">
        <v>58</v>
      </c>
      <c r="W93" s="26"/>
      <c r="X93" s="26"/>
      <c r="Y93" s="26"/>
      <c r="AF93" s="34">
        <v>2.4500000000000002</v>
      </c>
      <c r="AG93" s="34">
        <f>2.236*(3.07-AF93)</f>
        <v>1.3863199999999993</v>
      </c>
      <c r="AH93" s="27">
        <v>5</v>
      </c>
      <c r="AJ93" s="31"/>
      <c r="AV93" s="56"/>
      <c r="AW93" s="57"/>
      <c r="AX93" s="37"/>
      <c r="AY93" s="38"/>
      <c r="AZ93" s="38"/>
      <c r="BA93" s="38"/>
      <c r="BB93" s="38"/>
      <c r="BC93" s="39"/>
      <c r="BD93" s="38"/>
      <c r="BE93" s="37"/>
      <c r="BI93" s="22"/>
      <c r="BJ93" s="23"/>
    </row>
    <row r="94" spans="1:62" s="27" customFormat="1">
      <c r="A94" s="25" t="s">
        <v>214</v>
      </c>
      <c r="B94" s="26" t="s">
        <v>85</v>
      </c>
      <c r="C94" s="27" t="s">
        <v>38</v>
      </c>
      <c r="D94" s="27" t="s">
        <v>86</v>
      </c>
      <c r="E94" s="27">
        <v>28</v>
      </c>
      <c r="F94" s="28" t="s">
        <v>52</v>
      </c>
      <c r="J94" s="27" t="s">
        <v>41</v>
      </c>
      <c r="K94" s="27">
        <v>7.1</v>
      </c>
      <c r="M94" s="27" t="s">
        <v>284</v>
      </c>
      <c r="O94" s="27">
        <v>1.1000000000000001</v>
      </c>
      <c r="P94" s="27" t="s">
        <v>73</v>
      </c>
      <c r="T94" s="26" t="s">
        <v>43</v>
      </c>
      <c r="U94" s="26">
        <v>0.25</v>
      </c>
      <c r="V94" s="26" t="s">
        <v>58</v>
      </c>
      <c r="W94" s="26"/>
      <c r="X94" s="26"/>
      <c r="Y94" s="26"/>
      <c r="AF94" s="34">
        <v>0</v>
      </c>
      <c r="AG94" s="34">
        <v>0</v>
      </c>
      <c r="AH94" s="27">
        <v>5</v>
      </c>
      <c r="AJ94" s="31"/>
      <c r="AV94" s="56"/>
      <c r="AW94" s="57"/>
      <c r="AX94" s="37"/>
      <c r="AY94" s="38"/>
      <c r="AZ94" s="38"/>
      <c r="BA94" s="38"/>
      <c r="BB94" s="38"/>
      <c r="BC94" s="39"/>
      <c r="BD94" s="38"/>
      <c r="BE94" s="37"/>
      <c r="BI94" s="22"/>
      <c r="BJ94" s="23"/>
    </row>
    <row r="95" spans="1:62" s="27" customFormat="1">
      <c r="A95" s="25" t="s">
        <v>214</v>
      </c>
      <c r="B95" s="26" t="s">
        <v>85</v>
      </c>
      <c r="C95" s="27" t="s">
        <v>35</v>
      </c>
      <c r="D95" s="27" t="s">
        <v>86</v>
      </c>
      <c r="E95" s="27">
        <v>70</v>
      </c>
      <c r="F95" s="28" t="s">
        <v>52</v>
      </c>
      <c r="J95" s="27" t="s">
        <v>41</v>
      </c>
      <c r="K95" s="27">
        <v>7.1</v>
      </c>
      <c r="M95" s="27" t="s">
        <v>284</v>
      </c>
      <c r="O95" s="27">
        <v>1.1000000000000001</v>
      </c>
      <c r="P95" s="27" t="s">
        <v>73</v>
      </c>
      <c r="T95" s="26" t="s">
        <v>43</v>
      </c>
      <c r="U95" s="26">
        <v>0.25</v>
      </c>
      <c r="V95" s="26" t="s">
        <v>58</v>
      </c>
      <c r="W95" s="26"/>
      <c r="X95" s="26"/>
      <c r="Y95" s="26"/>
      <c r="AF95" s="34">
        <v>11.93</v>
      </c>
      <c r="AG95" s="34">
        <f>2.236*(14.79-AF95)</f>
        <v>6.3949599999999993</v>
      </c>
      <c r="AH95" s="27">
        <v>5</v>
      </c>
      <c r="AJ95" s="31"/>
      <c r="AV95" s="56"/>
      <c r="AW95" s="57"/>
      <c r="AX95" s="37"/>
      <c r="AY95" s="38"/>
      <c r="AZ95" s="38"/>
      <c r="BA95" s="38"/>
      <c r="BB95" s="38"/>
      <c r="BC95" s="39"/>
      <c r="BD95" s="38"/>
      <c r="BE95" s="37"/>
      <c r="BI95" s="22"/>
      <c r="BJ95" s="23"/>
    </row>
    <row r="96" spans="1:62" s="27" customFormat="1">
      <c r="A96" s="25" t="s">
        <v>214</v>
      </c>
      <c r="B96" s="26" t="s">
        <v>85</v>
      </c>
      <c r="C96" s="27" t="s">
        <v>38</v>
      </c>
      <c r="D96" s="27" t="s">
        <v>86</v>
      </c>
      <c r="E96" s="27">
        <v>70</v>
      </c>
      <c r="F96" s="28" t="s">
        <v>52</v>
      </c>
      <c r="J96" s="27" t="s">
        <v>41</v>
      </c>
      <c r="K96" s="27">
        <v>7.1</v>
      </c>
      <c r="M96" s="27" t="s">
        <v>284</v>
      </c>
      <c r="O96" s="27">
        <v>1.1000000000000001</v>
      </c>
      <c r="P96" s="27" t="s">
        <v>73</v>
      </c>
      <c r="T96" s="26" t="s">
        <v>43</v>
      </c>
      <c r="U96" s="26">
        <v>0.25</v>
      </c>
      <c r="V96" s="26" t="s">
        <v>58</v>
      </c>
      <c r="W96" s="26"/>
      <c r="X96" s="26"/>
      <c r="Y96" s="26"/>
      <c r="AF96" s="34">
        <v>0</v>
      </c>
      <c r="AG96" s="34">
        <v>0</v>
      </c>
      <c r="AH96" s="27">
        <v>5</v>
      </c>
      <c r="AJ96" s="31"/>
      <c r="AV96" s="56"/>
      <c r="AW96" s="57"/>
      <c r="AX96" s="37"/>
      <c r="AY96" s="38"/>
      <c r="AZ96" s="38"/>
      <c r="BA96" s="38"/>
      <c r="BB96" s="38"/>
      <c r="BC96" s="39"/>
      <c r="BD96" s="38"/>
      <c r="BE96" s="37"/>
      <c r="BI96" s="22"/>
      <c r="BJ96" s="23"/>
    </row>
    <row r="97" spans="1:62" s="27" customFormat="1">
      <c r="A97" s="25" t="s">
        <v>214</v>
      </c>
      <c r="B97" s="26" t="s">
        <v>85</v>
      </c>
      <c r="C97" s="27" t="s">
        <v>35</v>
      </c>
      <c r="D97" s="27" t="s">
        <v>86</v>
      </c>
      <c r="E97" s="27">
        <v>112</v>
      </c>
      <c r="F97" s="28" t="s">
        <v>52</v>
      </c>
      <c r="J97" s="27" t="s">
        <v>41</v>
      </c>
      <c r="K97" s="27">
        <v>7.1</v>
      </c>
      <c r="M97" s="27" t="s">
        <v>284</v>
      </c>
      <c r="O97" s="27">
        <v>1.1000000000000001</v>
      </c>
      <c r="P97" s="27" t="s">
        <v>73</v>
      </c>
      <c r="T97" s="26" t="s">
        <v>43</v>
      </c>
      <c r="U97" s="26">
        <v>0.25</v>
      </c>
      <c r="V97" s="26" t="s">
        <v>58</v>
      </c>
      <c r="W97" s="26"/>
      <c r="X97" s="26"/>
      <c r="Y97" s="26"/>
      <c r="AF97" s="34">
        <v>13.18</v>
      </c>
      <c r="AG97" s="34">
        <f>2.236*(13.8-AF97)</f>
        <v>1.3863200000000024</v>
      </c>
      <c r="AH97" s="27">
        <v>5</v>
      </c>
      <c r="AJ97" s="31"/>
      <c r="AV97" s="56"/>
      <c r="AW97" s="57"/>
      <c r="AX97" s="37"/>
      <c r="AY97" s="38"/>
      <c r="AZ97" s="38"/>
      <c r="BA97" s="38"/>
      <c r="BB97" s="38"/>
      <c r="BC97" s="39"/>
      <c r="BD97" s="38"/>
      <c r="BE97" s="37"/>
      <c r="BI97" s="22"/>
      <c r="BJ97" s="23"/>
    </row>
    <row r="98" spans="1:62" s="27" customFormat="1">
      <c r="A98" s="25" t="s">
        <v>214</v>
      </c>
      <c r="B98" s="26" t="s">
        <v>85</v>
      </c>
      <c r="C98" s="27" t="s">
        <v>38</v>
      </c>
      <c r="D98" s="27" t="s">
        <v>86</v>
      </c>
      <c r="E98" s="27">
        <v>112</v>
      </c>
      <c r="F98" s="28" t="s">
        <v>52</v>
      </c>
      <c r="J98" s="27" t="s">
        <v>41</v>
      </c>
      <c r="K98" s="27">
        <v>7.1</v>
      </c>
      <c r="M98" s="27" t="s">
        <v>284</v>
      </c>
      <c r="O98" s="27">
        <v>1.1000000000000001</v>
      </c>
      <c r="P98" s="27" t="s">
        <v>73</v>
      </c>
      <c r="T98" s="26" t="s">
        <v>43</v>
      </c>
      <c r="U98" s="26">
        <v>0.25</v>
      </c>
      <c r="V98" s="26" t="s">
        <v>58</v>
      </c>
      <c r="W98" s="26"/>
      <c r="X98" s="26"/>
      <c r="Y98" s="26"/>
      <c r="AF98" s="34">
        <v>0</v>
      </c>
      <c r="AG98" s="34">
        <v>0</v>
      </c>
      <c r="AH98" s="27">
        <v>5</v>
      </c>
      <c r="AJ98" s="31"/>
      <c r="AV98" s="56"/>
      <c r="AW98" s="57"/>
      <c r="AX98" s="37"/>
      <c r="AY98" s="38"/>
      <c r="AZ98" s="38"/>
      <c r="BA98" s="38"/>
      <c r="BB98" s="38"/>
      <c r="BC98" s="39"/>
      <c r="BD98" s="38"/>
      <c r="BE98" s="37"/>
      <c r="BI98" s="22"/>
      <c r="BJ98" s="23"/>
    </row>
    <row r="99" spans="1:62" s="27" customFormat="1">
      <c r="A99" s="25" t="s">
        <v>214</v>
      </c>
      <c r="B99" s="26" t="s">
        <v>85</v>
      </c>
      <c r="C99" s="27" t="s">
        <v>35</v>
      </c>
      <c r="D99" s="27" t="s">
        <v>86</v>
      </c>
      <c r="E99" s="27">
        <v>28</v>
      </c>
      <c r="F99" s="28" t="s">
        <v>83</v>
      </c>
      <c r="J99" s="27" t="s">
        <v>84</v>
      </c>
      <c r="K99" s="27">
        <v>4.8</v>
      </c>
      <c r="M99" s="15" t="s">
        <v>283</v>
      </c>
      <c r="O99" s="27">
        <v>0.8</v>
      </c>
      <c r="P99" s="27" t="s">
        <v>73</v>
      </c>
      <c r="T99" s="26" t="s">
        <v>43</v>
      </c>
      <c r="U99" s="26">
        <v>0.25</v>
      </c>
      <c r="V99" s="26" t="s">
        <v>58</v>
      </c>
      <c r="W99" s="26"/>
      <c r="X99" s="26"/>
      <c r="Y99" s="26"/>
      <c r="AF99" s="34">
        <v>20.1493</v>
      </c>
      <c r="AG99" s="34">
        <f>1.73*(23.8806-AF99)</f>
        <v>6.4551490000000014</v>
      </c>
      <c r="AH99" s="27">
        <v>3</v>
      </c>
      <c r="AJ99" s="31"/>
      <c r="AV99" s="56"/>
      <c r="AW99" s="57"/>
      <c r="AX99" s="37"/>
      <c r="AY99" s="38"/>
      <c r="AZ99" s="38"/>
      <c r="BA99" s="38"/>
      <c r="BB99" s="38"/>
      <c r="BC99" s="39"/>
      <c r="BD99" s="38"/>
      <c r="BE99" s="37"/>
      <c r="BI99" s="22"/>
      <c r="BJ99" s="23"/>
    </row>
    <row r="100" spans="1:62" s="27" customFormat="1">
      <c r="A100" s="25" t="s">
        <v>214</v>
      </c>
      <c r="B100" s="26" t="s">
        <v>85</v>
      </c>
      <c r="C100" s="27" t="s">
        <v>38</v>
      </c>
      <c r="D100" s="27" t="s">
        <v>86</v>
      </c>
      <c r="E100" s="27">
        <v>28</v>
      </c>
      <c r="F100" s="28" t="s">
        <v>83</v>
      </c>
      <c r="J100" s="27" t="s">
        <v>84</v>
      </c>
      <c r="K100" s="27">
        <v>4.8</v>
      </c>
      <c r="M100" s="15" t="s">
        <v>283</v>
      </c>
      <c r="O100" s="27">
        <v>0.8</v>
      </c>
      <c r="P100" s="27" t="s">
        <v>73</v>
      </c>
      <c r="T100" s="26" t="s">
        <v>43</v>
      </c>
      <c r="U100" s="26">
        <v>0.25</v>
      </c>
      <c r="V100" s="26" t="s">
        <v>58</v>
      </c>
      <c r="W100" s="26"/>
      <c r="X100" s="26"/>
      <c r="Y100" s="26"/>
      <c r="AF100" s="34">
        <v>14.626899999999999</v>
      </c>
      <c r="AG100" s="34">
        <f>1.73*(20.7463-AF100)</f>
        <v>10.586562000000004</v>
      </c>
      <c r="AH100" s="27">
        <v>3</v>
      </c>
      <c r="AJ100" s="31"/>
      <c r="AV100" s="56"/>
      <c r="AW100" s="57"/>
      <c r="AX100" s="37"/>
      <c r="AY100" s="38"/>
      <c r="AZ100" s="38"/>
      <c r="BA100" s="38"/>
      <c r="BB100" s="38"/>
      <c r="BC100" s="39"/>
      <c r="BD100" s="38"/>
      <c r="BE100" s="37"/>
      <c r="BI100" s="22"/>
      <c r="BJ100" s="23"/>
    </row>
    <row r="101" spans="1:62" s="27" customFormat="1">
      <c r="A101" s="25" t="s">
        <v>214</v>
      </c>
      <c r="B101" s="26" t="s">
        <v>85</v>
      </c>
      <c r="C101" s="27" t="s">
        <v>35</v>
      </c>
      <c r="D101" s="27" t="s">
        <v>86</v>
      </c>
      <c r="E101" s="27">
        <v>70</v>
      </c>
      <c r="F101" s="28" t="s">
        <v>83</v>
      </c>
      <c r="J101" s="27" t="s">
        <v>84</v>
      </c>
      <c r="K101" s="27">
        <v>4.8</v>
      </c>
      <c r="M101" s="15" t="s">
        <v>283</v>
      </c>
      <c r="O101" s="27">
        <v>0.8</v>
      </c>
      <c r="P101" s="27" t="s">
        <v>73</v>
      </c>
      <c r="T101" s="26" t="s">
        <v>43</v>
      </c>
      <c r="U101" s="26">
        <v>0.25</v>
      </c>
      <c r="V101" s="26" t="s">
        <v>58</v>
      </c>
      <c r="W101" s="26"/>
      <c r="X101" s="26"/>
      <c r="Y101" s="26"/>
      <c r="AF101" s="34">
        <v>31.940300000000001</v>
      </c>
      <c r="AG101" s="34">
        <f>1.73*(38.5074-AF101)</f>
        <v>11.361082999999994</v>
      </c>
      <c r="AH101" s="27">
        <v>3</v>
      </c>
      <c r="AJ101" s="31"/>
      <c r="AV101" s="56"/>
      <c r="AW101" s="57"/>
      <c r="AX101" s="37"/>
      <c r="AY101" s="38"/>
      <c r="AZ101" s="38"/>
      <c r="BA101" s="38"/>
      <c r="BB101" s="38"/>
      <c r="BC101" s="39"/>
      <c r="BD101" s="38"/>
      <c r="BE101" s="37"/>
      <c r="BI101" s="22"/>
      <c r="BJ101" s="23"/>
    </row>
    <row r="102" spans="1:62" s="27" customFormat="1">
      <c r="A102" s="25" t="s">
        <v>214</v>
      </c>
      <c r="B102" s="26" t="s">
        <v>85</v>
      </c>
      <c r="C102" s="27" t="s">
        <v>38</v>
      </c>
      <c r="D102" s="27" t="s">
        <v>86</v>
      </c>
      <c r="E102" s="27">
        <v>70</v>
      </c>
      <c r="F102" s="28" t="s">
        <v>83</v>
      </c>
      <c r="J102" s="27" t="s">
        <v>84</v>
      </c>
      <c r="K102" s="27">
        <v>4.8</v>
      </c>
      <c r="M102" s="15" t="s">
        <v>283</v>
      </c>
      <c r="O102" s="27">
        <v>0.8</v>
      </c>
      <c r="P102" s="27" t="s">
        <v>73</v>
      </c>
      <c r="T102" s="26" t="s">
        <v>43</v>
      </c>
      <c r="U102" s="26">
        <v>0.25</v>
      </c>
      <c r="V102" s="26" t="s">
        <v>58</v>
      </c>
      <c r="W102" s="26"/>
      <c r="X102" s="26"/>
      <c r="Y102" s="26"/>
      <c r="AF102" s="34">
        <v>6.8657000000000004</v>
      </c>
      <c r="AG102" s="34">
        <f>1.73*(8.0597-AF102)</f>
        <v>2.0656199999999982</v>
      </c>
      <c r="AH102" s="27">
        <v>3</v>
      </c>
      <c r="AJ102" s="31"/>
      <c r="AV102" s="56"/>
      <c r="AW102" s="57"/>
      <c r="AX102" s="37"/>
      <c r="AY102" s="38"/>
      <c r="AZ102" s="38"/>
      <c r="BA102" s="38"/>
      <c r="BB102" s="38"/>
      <c r="BC102" s="39"/>
      <c r="BD102" s="38"/>
      <c r="BE102" s="37"/>
      <c r="BI102" s="22"/>
      <c r="BJ102" s="23"/>
    </row>
    <row r="103" spans="1:62" s="27" customFormat="1">
      <c r="A103" s="25" t="s">
        <v>214</v>
      </c>
      <c r="B103" s="26" t="s">
        <v>85</v>
      </c>
      <c r="C103" s="27" t="s">
        <v>35</v>
      </c>
      <c r="D103" s="27" t="s">
        <v>86</v>
      </c>
      <c r="E103" s="27">
        <v>126</v>
      </c>
      <c r="F103" s="28" t="s">
        <v>83</v>
      </c>
      <c r="J103" s="27" t="s">
        <v>84</v>
      </c>
      <c r="K103" s="27">
        <v>4.8</v>
      </c>
      <c r="M103" s="15" t="s">
        <v>283</v>
      </c>
      <c r="O103" s="27">
        <v>0.8</v>
      </c>
      <c r="P103" s="27" t="s">
        <v>73</v>
      </c>
      <c r="T103" s="26" t="s">
        <v>43</v>
      </c>
      <c r="U103" s="26">
        <v>0.25</v>
      </c>
      <c r="V103" s="26" t="s">
        <v>58</v>
      </c>
      <c r="W103" s="26"/>
      <c r="X103" s="26"/>
      <c r="Y103" s="26"/>
      <c r="AF103" s="34">
        <v>64.477599999999995</v>
      </c>
      <c r="AG103" s="34">
        <f>2.236*(76.1194-AF103)</f>
        <v>26.03106480000001</v>
      </c>
      <c r="AH103" s="27">
        <v>5</v>
      </c>
      <c r="AJ103" s="31"/>
      <c r="AV103" s="56"/>
      <c r="AW103" s="57"/>
      <c r="AX103" s="37"/>
      <c r="AY103" s="38"/>
      <c r="AZ103" s="38"/>
      <c r="BA103" s="38"/>
      <c r="BB103" s="38"/>
      <c r="BC103" s="39"/>
      <c r="BD103" s="38"/>
      <c r="BE103" s="37"/>
      <c r="BI103" s="22"/>
      <c r="BJ103" s="23"/>
    </row>
    <row r="104" spans="1:62" s="27" customFormat="1">
      <c r="A104" s="25" t="s">
        <v>214</v>
      </c>
      <c r="B104" s="26" t="s">
        <v>85</v>
      </c>
      <c r="C104" s="27" t="s">
        <v>38</v>
      </c>
      <c r="D104" s="27" t="s">
        <v>86</v>
      </c>
      <c r="E104" s="27">
        <v>126</v>
      </c>
      <c r="F104" s="28" t="s">
        <v>83</v>
      </c>
      <c r="J104" s="27" t="s">
        <v>84</v>
      </c>
      <c r="K104" s="27">
        <v>4.8</v>
      </c>
      <c r="M104" s="15" t="s">
        <v>283</v>
      </c>
      <c r="O104" s="27">
        <v>0.8</v>
      </c>
      <c r="P104" s="27" t="s">
        <v>73</v>
      </c>
      <c r="T104" s="26" t="s">
        <v>43</v>
      </c>
      <c r="U104" s="26">
        <v>0.25</v>
      </c>
      <c r="V104" s="26" t="s">
        <v>58</v>
      </c>
      <c r="W104" s="26"/>
      <c r="X104" s="26"/>
      <c r="Y104" s="26"/>
      <c r="AF104" s="34">
        <v>14.1791</v>
      </c>
      <c r="AG104" s="34">
        <f>2.236*(16.4179-AF104)</f>
        <v>5.005956799999999</v>
      </c>
      <c r="AH104" s="27">
        <v>5</v>
      </c>
      <c r="AJ104" s="31"/>
      <c r="AV104" s="56"/>
      <c r="AW104" s="57"/>
      <c r="AX104" s="37"/>
      <c r="AY104" s="38"/>
      <c r="AZ104" s="38"/>
      <c r="BA104" s="38"/>
      <c r="BB104" s="38"/>
      <c r="BC104" s="39"/>
      <c r="BD104" s="38"/>
      <c r="BE104" s="37"/>
      <c r="BI104" s="22"/>
      <c r="BJ104" s="23"/>
    </row>
    <row r="105" spans="1:62" s="27" customFormat="1">
      <c r="A105" s="25" t="s">
        <v>214</v>
      </c>
      <c r="B105" s="26" t="s">
        <v>85</v>
      </c>
      <c r="C105" s="27" t="s">
        <v>35</v>
      </c>
      <c r="D105" s="27" t="s">
        <v>86</v>
      </c>
      <c r="E105" s="27">
        <v>28</v>
      </c>
      <c r="F105" s="28" t="s">
        <v>71</v>
      </c>
      <c r="J105" s="27" t="s">
        <v>41</v>
      </c>
      <c r="K105" s="27">
        <v>7.1</v>
      </c>
      <c r="M105" s="27" t="s">
        <v>284</v>
      </c>
      <c r="O105" s="27">
        <v>1.1000000000000001</v>
      </c>
      <c r="P105" s="27" t="s">
        <v>73</v>
      </c>
      <c r="T105" s="74" t="s">
        <v>43</v>
      </c>
      <c r="U105" s="26">
        <v>0.25</v>
      </c>
      <c r="V105" s="26" t="s">
        <v>58</v>
      </c>
      <c r="W105" s="26"/>
      <c r="X105" s="26"/>
      <c r="Y105" s="26"/>
      <c r="AF105" s="34">
        <v>16.255400000000002</v>
      </c>
      <c r="AG105" s="34">
        <f>1.73*(22.3512-AF105)</f>
        <v>10.545733999999994</v>
      </c>
      <c r="AH105" s="27">
        <v>3</v>
      </c>
      <c r="AJ105" s="31"/>
      <c r="AV105" s="56"/>
      <c r="AW105" s="57"/>
      <c r="AX105" s="37"/>
      <c r="AY105" s="38"/>
      <c r="AZ105" s="38"/>
      <c r="BA105" s="38"/>
      <c r="BB105" s="38"/>
      <c r="BC105" s="39"/>
      <c r="BD105" s="38"/>
      <c r="BE105" s="37"/>
      <c r="BI105" s="22"/>
      <c r="BJ105" s="23"/>
    </row>
    <row r="106" spans="1:62" s="27" customFormat="1">
      <c r="A106" s="25" t="s">
        <v>214</v>
      </c>
      <c r="B106" s="26" t="s">
        <v>85</v>
      </c>
      <c r="C106" s="27" t="s">
        <v>38</v>
      </c>
      <c r="D106" s="27" t="s">
        <v>86</v>
      </c>
      <c r="E106" s="27">
        <v>28</v>
      </c>
      <c r="F106" s="28" t="s">
        <v>71</v>
      </c>
      <c r="J106" s="27" t="s">
        <v>41</v>
      </c>
      <c r="K106" s="27">
        <v>7.1</v>
      </c>
      <c r="M106" s="27" t="s">
        <v>284</v>
      </c>
      <c r="O106" s="27">
        <v>1.1000000000000001</v>
      </c>
      <c r="P106" s="27" t="s">
        <v>73</v>
      </c>
      <c r="T106" s="74" t="s">
        <v>43</v>
      </c>
      <c r="U106" s="26">
        <v>0.25</v>
      </c>
      <c r="V106" s="26" t="s">
        <v>58</v>
      </c>
      <c r="W106" s="26"/>
      <c r="X106" s="26"/>
      <c r="Y106" s="26"/>
      <c r="AF106" s="34">
        <v>0.5806</v>
      </c>
      <c r="AG106" s="34">
        <f>1.73*(1.016-AF106)</f>
        <v>0.75324199999999997</v>
      </c>
      <c r="AH106" s="27">
        <v>3</v>
      </c>
      <c r="AJ106" s="31"/>
      <c r="AV106" s="56"/>
      <c r="AW106" s="57"/>
      <c r="AX106" s="37"/>
      <c r="AY106" s="38"/>
      <c r="AZ106" s="38"/>
      <c r="BA106" s="38"/>
      <c r="BB106" s="38"/>
      <c r="BC106" s="39"/>
      <c r="BD106" s="38"/>
      <c r="BE106" s="37"/>
      <c r="BI106" s="22"/>
      <c r="BJ106" s="23"/>
    </row>
    <row r="107" spans="1:62" s="27" customFormat="1">
      <c r="A107" s="25" t="s">
        <v>214</v>
      </c>
      <c r="B107" s="26" t="s">
        <v>85</v>
      </c>
      <c r="C107" s="27" t="s">
        <v>35</v>
      </c>
      <c r="D107" s="27" t="s">
        <v>86</v>
      </c>
      <c r="E107" s="27">
        <v>70</v>
      </c>
      <c r="F107" s="28" t="s">
        <v>71</v>
      </c>
      <c r="J107" s="27" t="s">
        <v>41</v>
      </c>
      <c r="K107" s="27">
        <v>7.1</v>
      </c>
      <c r="M107" s="27" t="s">
        <v>284</v>
      </c>
      <c r="O107" s="27">
        <v>1.1000000000000001</v>
      </c>
      <c r="P107" s="27" t="s">
        <v>73</v>
      </c>
      <c r="T107" s="74" t="s">
        <v>43</v>
      </c>
      <c r="U107" s="26">
        <v>0.25</v>
      </c>
      <c r="V107" s="26" t="s">
        <v>58</v>
      </c>
      <c r="W107" s="26"/>
      <c r="X107" s="26"/>
      <c r="Y107" s="26"/>
      <c r="AF107" s="34">
        <v>25.5443</v>
      </c>
      <c r="AG107" s="34">
        <f>1.73*(37.1553-AF107)</f>
        <v>20.087029999999995</v>
      </c>
      <c r="AH107" s="27">
        <v>3</v>
      </c>
      <c r="AJ107" s="31"/>
      <c r="AV107" s="56"/>
      <c r="AW107" s="57"/>
      <c r="AX107" s="37"/>
      <c r="AY107" s="38"/>
      <c r="AZ107" s="38"/>
      <c r="BA107" s="38"/>
      <c r="BB107" s="38"/>
      <c r="BC107" s="39"/>
      <c r="BD107" s="38"/>
      <c r="BE107" s="37"/>
      <c r="BI107" s="22"/>
      <c r="BJ107" s="23"/>
    </row>
    <row r="108" spans="1:62" s="27" customFormat="1">
      <c r="A108" s="25" t="s">
        <v>214</v>
      </c>
      <c r="B108" s="26" t="s">
        <v>85</v>
      </c>
      <c r="C108" s="27" t="s">
        <v>38</v>
      </c>
      <c r="D108" s="27" t="s">
        <v>86</v>
      </c>
      <c r="E108" s="27">
        <v>70</v>
      </c>
      <c r="F108" s="28" t="s">
        <v>71</v>
      </c>
      <c r="J108" s="27" t="s">
        <v>41</v>
      </c>
      <c r="K108" s="27">
        <v>7.1</v>
      </c>
      <c r="M108" s="27" t="s">
        <v>284</v>
      </c>
      <c r="O108" s="27">
        <v>1.1000000000000001</v>
      </c>
      <c r="P108" s="27" t="s">
        <v>73</v>
      </c>
      <c r="T108" s="74" t="s">
        <v>43</v>
      </c>
      <c r="U108" s="26">
        <v>0.25</v>
      </c>
      <c r="V108" s="26" t="s">
        <v>58</v>
      </c>
      <c r="W108" s="26"/>
      <c r="X108" s="26"/>
      <c r="Y108" s="26"/>
      <c r="AF108" s="29">
        <v>2.3222</v>
      </c>
      <c r="AG108" s="29">
        <f>1.73*(4.0639-AF108)</f>
        <v>3.0131410000000005</v>
      </c>
      <c r="AH108" s="26">
        <v>3</v>
      </c>
      <c r="AI108" s="26"/>
      <c r="AJ108" s="31"/>
      <c r="AK108" s="26"/>
      <c r="AL108" s="26"/>
      <c r="AV108" s="56"/>
      <c r="AW108" s="57"/>
      <c r="AX108" s="37"/>
      <c r="AY108" s="38"/>
      <c r="AZ108" s="38"/>
      <c r="BA108" s="38"/>
      <c r="BB108" s="38"/>
      <c r="BC108" s="39"/>
      <c r="BD108" s="38"/>
      <c r="BE108" s="37"/>
      <c r="BI108" s="22"/>
      <c r="BJ108" s="23"/>
    </row>
    <row r="109" spans="1:62" s="27" customFormat="1">
      <c r="A109" s="25" t="s">
        <v>214</v>
      </c>
      <c r="B109" s="26" t="s">
        <v>85</v>
      </c>
      <c r="C109" s="27" t="s">
        <v>35</v>
      </c>
      <c r="D109" s="27" t="s">
        <v>86</v>
      </c>
      <c r="E109" s="27">
        <v>126</v>
      </c>
      <c r="F109" s="28" t="s">
        <v>71</v>
      </c>
      <c r="J109" s="27" t="s">
        <v>41</v>
      </c>
      <c r="K109" s="27">
        <v>7.1</v>
      </c>
      <c r="M109" s="27" t="s">
        <v>284</v>
      </c>
      <c r="O109" s="27">
        <v>1.1000000000000001</v>
      </c>
      <c r="P109" s="27" t="s">
        <v>73</v>
      </c>
      <c r="T109" s="74" t="s">
        <v>43</v>
      </c>
      <c r="U109" s="26">
        <v>0.25</v>
      </c>
      <c r="V109" s="26" t="s">
        <v>58</v>
      </c>
      <c r="W109" s="26"/>
      <c r="X109" s="26"/>
      <c r="Y109" s="26"/>
      <c r="AF109" s="29">
        <v>66.328000000000003</v>
      </c>
      <c r="AG109" s="29">
        <f>2.449*(70.1016-AF109)</f>
        <v>9.2415464000000043</v>
      </c>
      <c r="AH109" s="26">
        <v>6</v>
      </c>
      <c r="AI109" s="26"/>
      <c r="AJ109" s="31"/>
      <c r="AK109" s="26"/>
      <c r="AL109" s="26"/>
      <c r="AV109" s="56"/>
      <c r="AW109" s="57"/>
      <c r="AX109" s="37"/>
      <c r="AY109" s="38"/>
      <c r="AZ109" s="38"/>
      <c r="BA109" s="38"/>
      <c r="BB109" s="38"/>
      <c r="BC109" s="39"/>
      <c r="BD109" s="38"/>
      <c r="BE109" s="37"/>
      <c r="BI109" s="22"/>
      <c r="BJ109" s="23"/>
    </row>
    <row r="110" spans="1:62" s="27" customFormat="1">
      <c r="A110" s="25" t="s">
        <v>214</v>
      </c>
      <c r="B110" s="26" t="s">
        <v>85</v>
      </c>
      <c r="C110" s="27" t="s">
        <v>38</v>
      </c>
      <c r="D110" s="27" t="s">
        <v>86</v>
      </c>
      <c r="E110" s="27">
        <v>126</v>
      </c>
      <c r="F110" s="28" t="s">
        <v>71</v>
      </c>
      <c r="J110" s="27" t="s">
        <v>41</v>
      </c>
      <c r="K110" s="27">
        <v>7.1</v>
      </c>
      <c r="M110" s="27" t="s">
        <v>284</v>
      </c>
      <c r="O110" s="27">
        <v>1.1000000000000001</v>
      </c>
      <c r="P110" s="27" t="s">
        <v>73</v>
      </c>
      <c r="T110" s="74" t="s">
        <v>43</v>
      </c>
      <c r="U110" s="26">
        <v>0.25</v>
      </c>
      <c r="V110" s="26" t="s">
        <v>58</v>
      </c>
      <c r="W110" s="26"/>
      <c r="X110" s="26"/>
      <c r="Y110" s="26"/>
      <c r="AF110" s="29" t="s">
        <v>132</v>
      </c>
      <c r="AG110" s="29" t="s">
        <v>132</v>
      </c>
      <c r="AH110" s="26">
        <v>6</v>
      </c>
      <c r="AI110" s="26"/>
      <c r="AJ110" s="31"/>
      <c r="AK110" s="26"/>
      <c r="AL110" s="26"/>
      <c r="AV110" s="56"/>
      <c r="AW110" s="57"/>
      <c r="AX110" s="37"/>
      <c r="AY110" s="38"/>
      <c r="AZ110" s="38"/>
      <c r="BA110" s="38"/>
      <c r="BB110" s="38"/>
      <c r="BC110" s="39"/>
      <c r="BD110" s="38"/>
      <c r="BE110" s="37"/>
      <c r="BI110" s="22"/>
      <c r="BJ110" s="23"/>
    </row>
    <row r="111" spans="1:62" s="27" customFormat="1">
      <c r="A111" s="25" t="s">
        <v>214</v>
      </c>
      <c r="B111" s="26" t="s">
        <v>85</v>
      </c>
      <c r="C111" s="27" t="s">
        <v>35</v>
      </c>
      <c r="D111" s="27" t="s">
        <v>86</v>
      </c>
      <c r="E111" s="27">
        <v>28</v>
      </c>
      <c r="F111" s="28" t="s">
        <v>88</v>
      </c>
      <c r="J111" s="27" t="s">
        <v>41</v>
      </c>
      <c r="K111" s="27">
        <v>7.1</v>
      </c>
      <c r="M111" s="27" t="s">
        <v>284</v>
      </c>
      <c r="O111" s="27">
        <v>1.1000000000000001</v>
      </c>
      <c r="P111" s="27" t="s">
        <v>73</v>
      </c>
      <c r="T111" s="74" t="s">
        <v>43</v>
      </c>
      <c r="U111" s="26">
        <v>0.25</v>
      </c>
      <c r="V111" s="26" t="s">
        <v>58</v>
      </c>
      <c r="W111" s="26"/>
      <c r="X111" s="26"/>
      <c r="Y111" s="26"/>
      <c r="AF111" s="34">
        <v>31.040600000000001</v>
      </c>
      <c r="AG111" s="34">
        <f>1.73*(36.1552-AF111)</f>
        <v>8.8482579999999995</v>
      </c>
      <c r="AH111" s="27">
        <v>3</v>
      </c>
      <c r="AJ111" s="31"/>
      <c r="AV111" s="56"/>
      <c r="AW111" s="57"/>
      <c r="AX111" s="37"/>
      <c r="AY111" s="38"/>
      <c r="AZ111" s="38"/>
      <c r="BA111" s="38"/>
      <c r="BB111" s="38"/>
      <c r="BC111" s="39"/>
      <c r="BD111" s="38"/>
      <c r="BE111" s="37"/>
      <c r="BI111" s="22"/>
      <c r="BJ111" s="23"/>
    </row>
    <row r="112" spans="1:62" s="27" customFormat="1">
      <c r="A112" s="25" t="s">
        <v>214</v>
      </c>
      <c r="B112" s="26" t="s">
        <v>85</v>
      </c>
      <c r="C112" s="27" t="s">
        <v>38</v>
      </c>
      <c r="D112" s="27" t="s">
        <v>86</v>
      </c>
      <c r="E112" s="27">
        <v>28</v>
      </c>
      <c r="F112" s="28" t="s">
        <v>88</v>
      </c>
      <c r="J112" s="27" t="s">
        <v>41</v>
      </c>
      <c r="K112" s="27">
        <v>7.1</v>
      </c>
      <c r="M112" s="27" t="s">
        <v>284</v>
      </c>
      <c r="O112" s="27">
        <v>1.1000000000000001</v>
      </c>
      <c r="P112" s="27" t="s">
        <v>73</v>
      </c>
      <c r="T112" s="74" t="s">
        <v>43</v>
      </c>
      <c r="U112" s="26">
        <v>0.25</v>
      </c>
      <c r="V112" s="26" t="s">
        <v>58</v>
      </c>
      <c r="W112" s="26"/>
      <c r="X112" s="26"/>
      <c r="Y112" s="26"/>
      <c r="AF112" s="34">
        <v>4.9382999999999999</v>
      </c>
      <c r="AG112" s="34">
        <f>1.73*(7.5838-AF112)</f>
        <v>4.5767150000000001</v>
      </c>
      <c r="AH112" s="27">
        <v>3</v>
      </c>
      <c r="AJ112" s="31"/>
      <c r="AV112" s="56"/>
      <c r="AW112" s="57"/>
      <c r="AX112" s="37"/>
      <c r="AY112" s="38"/>
      <c r="AZ112" s="38"/>
      <c r="BA112" s="38"/>
      <c r="BB112" s="38"/>
      <c r="BC112" s="39"/>
      <c r="BD112" s="38"/>
      <c r="BE112" s="37"/>
      <c r="BI112" s="22"/>
      <c r="BJ112" s="23"/>
    </row>
    <row r="113" spans="1:75" s="27" customFormat="1">
      <c r="A113" s="25" t="s">
        <v>214</v>
      </c>
      <c r="B113" s="26" t="s">
        <v>85</v>
      </c>
      <c r="C113" s="27" t="s">
        <v>35</v>
      </c>
      <c r="D113" s="27" t="s">
        <v>86</v>
      </c>
      <c r="E113" s="27">
        <v>70</v>
      </c>
      <c r="F113" s="28" t="s">
        <v>88</v>
      </c>
      <c r="J113" s="27" t="s">
        <v>41</v>
      </c>
      <c r="K113" s="27">
        <v>7.1</v>
      </c>
      <c r="M113" s="27" t="s">
        <v>284</v>
      </c>
      <c r="O113" s="27">
        <v>1.1000000000000001</v>
      </c>
      <c r="P113" s="27" t="s">
        <v>73</v>
      </c>
      <c r="T113" s="74" t="s">
        <v>43</v>
      </c>
      <c r="U113" s="26">
        <v>0.25</v>
      </c>
      <c r="V113" s="26" t="s">
        <v>58</v>
      </c>
      <c r="W113" s="26"/>
      <c r="X113" s="26"/>
      <c r="Y113" s="26"/>
      <c r="AF113" s="34">
        <v>89.947100000000006</v>
      </c>
      <c r="AG113" s="34">
        <f>1.73*(93.6508-AF113)</f>
        <v>6.4074009999999957</v>
      </c>
      <c r="AH113" s="27">
        <v>3</v>
      </c>
      <c r="AJ113" s="31"/>
      <c r="AV113" s="56"/>
      <c r="AW113" s="57"/>
      <c r="AX113" s="37"/>
      <c r="AY113" s="38"/>
      <c r="AZ113" s="38"/>
      <c r="BA113" s="38"/>
      <c r="BB113" s="38"/>
      <c r="BC113" s="39"/>
      <c r="BD113" s="38"/>
      <c r="BE113" s="37"/>
      <c r="BI113" s="22"/>
      <c r="BJ113" s="23"/>
    </row>
    <row r="114" spans="1:75" s="27" customFormat="1">
      <c r="A114" s="25" t="s">
        <v>214</v>
      </c>
      <c r="B114" s="26" t="s">
        <v>85</v>
      </c>
      <c r="C114" s="27" t="s">
        <v>38</v>
      </c>
      <c r="D114" s="27" t="s">
        <v>86</v>
      </c>
      <c r="E114" s="27">
        <v>70</v>
      </c>
      <c r="F114" s="28" t="s">
        <v>88</v>
      </c>
      <c r="J114" s="27" t="s">
        <v>41</v>
      </c>
      <c r="K114" s="27">
        <v>7.1</v>
      </c>
      <c r="M114" s="27" t="s">
        <v>284</v>
      </c>
      <c r="O114" s="27">
        <v>1.1000000000000001</v>
      </c>
      <c r="P114" s="27" t="s">
        <v>73</v>
      </c>
      <c r="T114" s="74" t="s">
        <v>43</v>
      </c>
      <c r="U114" s="26">
        <v>0.25</v>
      </c>
      <c r="V114" s="26" t="s">
        <v>58</v>
      </c>
      <c r="W114" s="26"/>
      <c r="X114" s="26"/>
      <c r="Y114" s="26"/>
      <c r="AF114" s="29">
        <v>35.626100000000001</v>
      </c>
      <c r="AG114" s="29">
        <f>1.73*(38.8007-AF114)</f>
        <v>5.4920579999999966</v>
      </c>
      <c r="AH114" s="26">
        <v>3</v>
      </c>
      <c r="AI114" s="26"/>
      <c r="AJ114" s="31"/>
      <c r="AK114" s="26"/>
      <c r="AL114" s="26"/>
      <c r="AV114" s="56"/>
      <c r="AW114" s="57"/>
      <c r="AX114" s="37"/>
      <c r="AY114" s="38"/>
      <c r="AZ114" s="38"/>
      <c r="BA114" s="38"/>
      <c r="BB114" s="38"/>
      <c r="BC114" s="39"/>
      <c r="BD114" s="38"/>
      <c r="BE114" s="37"/>
      <c r="BI114" s="22"/>
      <c r="BJ114" s="23"/>
    </row>
    <row r="115" spans="1:75" s="27" customFormat="1">
      <c r="A115" s="25" t="s">
        <v>214</v>
      </c>
      <c r="B115" s="26" t="s">
        <v>85</v>
      </c>
      <c r="C115" s="27" t="s">
        <v>35</v>
      </c>
      <c r="D115" s="27" t="s">
        <v>86</v>
      </c>
      <c r="E115" s="27">
        <v>126</v>
      </c>
      <c r="F115" s="28" t="s">
        <v>88</v>
      </c>
      <c r="J115" s="27" t="s">
        <v>41</v>
      </c>
      <c r="K115" s="27">
        <v>7.1</v>
      </c>
      <c r="M115" s="27" t="s">
        <v>284</v>
      </c>
      <c r="O115" s="27">
        <v>1.1000000000000001</v>
      </c>
      <c r="P115" s="27" t="s">
        <v>73</v>
      </c>
      <c r="T115" s="74" t="s">
        <v>43</v>
      </c>
      <c r="U115" s="26">
        <v>0.25</v>
      </c>
      <c r="V115" s="26" t="s">
        <v>58</v>
      </c>
      <c r="W115" s="26"/>
      <c r="X115" s="26"/>
      <c r="Y115" s="26"/>
      <c r="AF115" s="29">
        <v>94.885400000000004</v>
      </c>
      <c r="AG115" s="29">
        <f>2.449*(97.7072-AF115)</f>
        <v>6.9105881999999896</v>
      </c>
      <c r="AH115" s="26">
        <v>6</v>
      </c>
      <c r="AI115" s="26"/>
      <c r="AJ115" s="31"/>
      <c r="AK115" s="26"/>
      <c r="AL115" s="26"/>
      <c r="AV115" s="56"/>
      <c r="AW115" s="57"/>
      <c r="AX115" s="37"/>
      <c r="AY115" s="38"/>
      <c r="AZ115" s="38"/>
      <c r="BA115" s="38"/>
      <c r="BB115" s="38"/>
      <c r="BC115" s="39"/>
      <c r="BD115" s="38"/>
      <c r="BE115" s="37"/>
      <c r="BI115" s="22"/>
      <c r="BJ115" s="23"/>
    </row>
    <row r="116" spans="1:75" s="27" customFormat="1">
      <c r="A116" s="25" t="s">
        <v>214</v>
      </c>
      <c r="B116" s="26" t="s">
        <v>85</v>
      </c>
      <c r="C116" s="27" t="s">
        <v>38</v>
      </c>
      <c r="D116" s="27" t="s">
        <v>86</v>
      </c>
      <c r="E116" s="27">
        <v>126</v>
      </c>
      <c r="F116" s="28" t="s">
        <v>88</v>
      </c>
      <c r="J116" s="27" t="s">
        <v>41</v>
      </c>
      <c r="K116" s="27">
        <v>7.1</v>
      </c>
      <c r="M116" s="27" t="s">
        <v>284</v>
      </c>
      <c r="O116" s="27">
        <v>1.1000000000000001</v>
      </c>
      <c r="P116" s="27" t="s">
        <v>73</v>
      </c>
      <c r="T116" s="74" t="s">
        <v>43</v>
      </c>
      <c r="U116" s="26">
        <v>0.25</v>
      </c>
      <c r="V116" s="26" t="s">
        <v>58</v>
      </c>
      <c r="W116" s="26"/>
      <c r="X116" s="26"/>
      <c r="Y116" s="26"/>
      <c r="AF116" s="29">
        <v>47.442599999999999</v>
      </c>
      <c r="AG116" s="29">
        <f>2.449*(56.9665-AF116)</f>
        <v>23.32403110000001</v>
      </c>
      <c r="AH116" s="26">
        <v>6</v>
      </c>
      <c r="AI116" s="26"/>
      <c r="AJ116" s="31"/>
      <c r="AK116" s="26"/>
      <c r="AL116" s="26"/>
      <c r="AV116" s="56"/>
      <c r="AW116" s="57"/>
      <c r="AX116" s="37"/>
      <c r="AY116" s="38"/>
      <c r="AZ116" s="38"/>
      <c r="BA116" s="38"/>
      <c r="BB116" s="38"/>
      <c r="BC116" s="39"/>
      <c r="BD116" s="38"/>
      <c r="BE116" s="37"/>
      <c r="BI116" s="22"/>
      <c r="BJ116" s="23"/>
    </row>
    <row r="117" spans="1:75" s="15" customFormat="1">
      <c r="A117" s="13" t="s">
        <v>216</v>
      </c>
      <c r="B117" s="14" t="s">
        <v>89</v>
      </c>
      <c r="C117" s="15" t="s">
        <v>35</v>
      </c>
      <c r="D117" s="15" t="s">
        <v>36</v>
      </c>
      <c r="E117" s="15">
        <v>56</v>
      </c>
      <c r="F117" s="16" t="s">
        <v>71</v>
      </c>
      <c r="H117" s="15" t="s">
        <v>90</v>
      </c>
      <c r="J117" s="15" t="s">
        <v>51</v>
      </c>
      <c r="K117" s="15">
        <v>7.4</v>
      </c>
      <c r="M117" s="15" t="s">
        <v>285</v>
      </c>
      <c r="O117" s="15">
        <v>6.6</v>
      </c>
      <c r="P117" s="15" t="s">
        <v>42</v>
      </c>
      <c r="T117" s="14" t="s">
        <v>43</v>
      </c>
      <c r="U117" s="14">
        <v>25</v>
      </c>
      <c r="V117" s="14" t="s">
        <v>44</v>
      </c>
      <c r="W117" s="14"/>
      <c r="X117" s="14"/>
      <c r="Y117" s="14"/>
      <c r="AF117" s="18">
        <v>8.8000000000000007</v>
      </c>
      <c r="AG117" s="18">
        <f>2.449*1.9</f>
        <v>4.6530999999999993</v>
      </c>
      <c r="AH117" s="15">
        <v>6</v>
      </c>
      <c r="AI117" s="15">
        <f t="shared" ref="AI117:AI124" si="13">AK117+AM117</f>
        <v>267</v>
      </c>
      <c r="AJ117" s="24">
        <f t="shared" si="11"/>
        <v>0.26700000000000002</v>
      </c>
      <c r="AK117" s="15">
        <v>216</v>
      </c>
      <c r="AL117" s="23">
        <f>2.449*23</f>
        <v>56.326999999999998</v>
      </c>
      <c r="AM117" s="15">
        <v>51</v>
      </c>
      <c r="AN117" s="23">
        <f>2.449*6</f>
        <v>14.693999999999999</v>
      </c>
      <c r="AV117" s="19"/>
      <c r="AW117" s="58"/>
      <c r="AX117" s="21"/>
      <c r="AY117" s="51"/>
      <c r="AZ117" s="51"/>
      <c r="BA117" s="51"/>
      <c r="BB117" s="51"/>
      <c r="BC117" s="52"/>
      <c r="BD117" s="51"/>
      <c r="BE117" s="21">
        <f t="shared" ref="BE117:BE124" si="14">AM117/AK117</f>
        <v>0.2361111111111111</v>
      </c>
      <c r="BF117" s="15">
        <f>(AI117-AI118)/AI118</f>
        <v>-0.13029315960912052</v>
      </c>
      <c r="BI117" s="22"/>
      <c r="BJ117" s="23">
        <f>BF117*100</f>
        <v>-13.029315960912053</v>
      </c>
      <c r="BK117" s="27"/>
    </row>
    <row r="118" spans="1:75" s="15" customFormat="1">
      <c r="A118" s="13" t="s">
        <v>216</v>
      </c>
      <c r="B118" s="14" t="s">
        <v>89</v>
      </c>
      <c r="C118" s="15" t="s">
        <v>38</v>
      </c>
      <c r="D118" s="15" t="s">
        <v>36</v>
      </c>
      <c r="E118" s="15">
        <v>56</v>
      </c>
      <c r="F118" s="16" t="s">
        <v>71</v>
      </c>
      <c r="H118" s="15" t="s">
        <v>90</v>
      </c>
      <c r="J118" s="15" t="s">
        <v>51</v>
      </c>
      <c r="K118" s="15">
        <v>7.4</v>
      </c>
      <c r="M118" s="15" t="s">
        <v>285</v>
      </c>
      <c r="O118" s="15">
        <v>6.6</v>
      </c>
      <c r="P118" s="15" t="s">
        <v>42</v>
      </c>
      <c r="T118" s="14" t="s">
        <v>43</v>
      </c>
      <c r="U118" s="14">
        <v>25</v>
      </c>
      <c r="V118" s="14" t="s">
        <v>44</v>
      </c>
      <c r="W118" s="14"/>
      <c r="X118" s="14"/>
      <c r="Y118" s="14"/>
      <c r="AF118" s="18">
        <v>9.3000000000000007</v>
      </c>
      <c r="AG118" s="18">
        <f>2.449*2.8</f>
        <v>6.8571999999999989</v>
      </c>
      <c r="AH118" s="15">
        <v>6</v>
      </c>
      <c r="AI118" s="15">
        <f t="shared" si="13"/>
        <v>307</v>
      </c>
      <c r="AJ118" s="24">
        <f t="shared" si="11"/>
        <v>0.307</v>
      </c>
      <c r="AK118" s="15">
        <v>239</v>
      </c>
      <c r="AL118" s="23">
        <f>2.449*22</f>
        <v>53.878</v>
      </c>
      <c r="AM118" s="15">
        <v>68</v>
      </c>
      <c r="AN118" s="23">
        <f>2.449*6</f>
        <v>14.693999999999999</v>
      </c>
      <c r="AV118" s="19"/>
      <c r="AW118" s="58"/>
      <c r="AX118" s="21"/>
      <c r="AY118" s="51"/>
      <c r="AZ118" s="51"/>
      <c r="BA118" s="51"/>
      <c r="BB118" s="51"/>
      <c r="BC118" s="52"/>
      <c r="BD118" s="51"/>
      <c r="BE118" s="21">
        <f t="shared" si="14"/>
        <v>0.28451882845188287</v>
      </c>
      <c r="BI118" s="22"/>
      <c r="BJ118" s="23">
        <f>BF119*100</f>
        <v>86.580086580086572</v>
      </c>
      <c r="BK118" s="27"/>
    </row>
    <row r="119" spans="1:75" s="15" customFormat="1">
      <c r="A119" s="13" t="s">
        <v>216</v>
      </c>
      <c r="B119" s="14" t="s">
        <v>89</v>
      </c>
      <c r="C119" s="15" t="s">
        <v>35</v>
      </c>
      <c r="D119" s="15" t="s">
        <v>36</v>
      </c>
      <c r="E119" s="15">
        <v>56</v>
      </c>
      <c r="F119" s="16" t="s">
        <v>55</v>
      </c>
      <c r="H119" s="15" t="s">
        <v>90</v>
      </c>
      <c r="J119" s="15" t="s">
        <v>51</v>
      </c>
      <c r="K119" s="15">
        <v>7.4</v>
      </c>
      <c r="M119" s="15" t="s">
        <v>285</v>
      </c>
      <c r="O119" s="15">
        <v>6.6</v>
      </c>
      <c r="P119" s="15" t="s">
        <v>42</v>
      </c>
      <c r="T119" s="14" t="s">
        <v>43</v>
      </c>
      <c r="U119" s="14">
        <v>25</v>
      </c>
      <c r="V119" s="14" t="s">
        <v>44</v>
      </c>
      <c r="W119" s="14"/>
      <c r="X119" s="14"/>
      <c r="Y119" s="14"/>
      <c r="AF119" s="18">
        <v>25.7</v>
      </c>
      <c r="AG119" s="18">
        <f>2.449*6.5</f>
        <v>15.918499999999998</v>
      </c>
      <c r="AH119" s="15">
        <v>6</v>
      </c>
      <c r="AI119" s="15">
        <f t="shared" si="13"/>
        <v>431</v>
      </c>
      <c r="AJ119" s="24">
        <f t="shared" si="11"/>
        <v>0.43099999999999999</v>
      </c>
      <c r="AK119" s="15">
        <v>328</v>
      </c>
      <c r="AL119" s="23">
        <f>2.449*23</f>
        <v>56.326999999999998</v>
      </c>
      <c r="AM119" s="15">
        <v>103</v>
      </c>
      <c r="AN119" s="23">
        <f>2.449*10</f>
        <v>24.49</v>
      </c>
      <c r="AV119" s="19"/>
      <c r="AW119" s="58"/>
      <c r="AX119" s="21"/>
      <c r="AY119" s="51"/>
      <c r="AZ119" s="51"/>
      <c r="BA119" s="51"/>
      <c r="BB119" s="51"/>
      <c r="BC119" s="52"/>
      <c r="BD119" s="51"/>
      <c r="BE119" s="21">
        <f t="shared" si="14"/>
        <v>0.31402439024390244</v>
      </c>
      <c r="BF119" s="15">
        <f>(AI119-AI120)/AI120</f>
        <v>0.86580086580086579</v>
      </c>
      <c r="BI119" s="22"/>
      <c r="BJ119" s="23">
        <f>BF121*100</f>
        <v>19.808306709265175</v>
      </c>
      <c r="BK119" s="27"/>
    </row>
    <row r="120" spans="1:75" s="15" customFormat="1">
      <c r="A120" s="13" t="s">
        <v>216</v>
      </c>
      <c r="B120" s="14" t="s">
        <v>89</v>
      </c>
      <c r="C120" s="15" t="s">
        <v>38</v>
      </c>
      <c r="D120" s="15" t="s">
        <v>36</v>
      </c>
      <c r="E120" s="15">
        <v>56</v>
      </c>
      <c r="F120" s="16" t="s">
        <v>55</v>
      </c>
      <c r="H120" s="15" t="s">
        <v>90</v>
      </c>
      <c r="J120" s="15" t="s">
        <v>51</v>
      </c>
      <c r="K120" s="15">
        <v>7.4</v>
      </c>
      <c r="M120" s="15" t="s">
        <v>285</v>
      </c>
      <c r="O120" s="15">
        <v>6.6</v>
      </c>
      <c r="P120" s="15" t="s">
        <v>42</v>
      </c>
      <c r="T120" s="14" t="s">
        <v>43</v>
      </c>
      <c r="U120" s="14">
        <v>25</v>
      </c>
      <c r="V120" s="14" t="s">
        <v>44</v>
      </c>
      <c r="W120" s="14"/>
      <c r="X120" s="14"/>
      <c r="Y120" s="14"/>
      <c r="AF120" s="18">
        <v>9</v>
      </c>
      <c r="AG120" s="18">
        <f>2.449*2.2</f>
        <v>5.3878000000000004</v>
      </c>
      <c r="AH120" s="15">
        <v>6</v>
      </c>
      <c r="AI120" s="15">
        <f t="shared" si="13"/>
        <v>231</v>
      </c>
      <c r="AJ120" s="24">
        <f t="shared" si="11"/>
        <v>0.23100000000000001</v>
      </c>
      <c r="AK120" s="15">
        <v>168</v>
      </c>
      <c r="AL120" s="23">
        <f>2.449*44</f>
        <v>107.756</v>
      </c>
      <c r="AM120" s="15">
        <v>63</v>
      </c>
      <c r="AN120" s="23">
        <f>2.449*19</f>
        <v>46.530999999999999</v>
      </c>
      <c r="AV120" s="19"/>
      <c r="AW120" s="58"/>
      <c r="AX120" s="21"/>
      <c r="AY120" s="51"/>
      <c r="AZ120" s="51"/>
      <c r="BA120" s="51"/>
      <c r="BB120" s="51"/>
      <c r="BC120" s="52"/>
      <c r="BD120" s="51"/>
      <c r="BE120" s="21">
        <f t="shared" si="14"/>
        <v>0.375</v>
      </c>
      <c r="BI120" s="22"/>
      <c r="BJ120" s="23">
        <f>BF123*100</f>
        <v>105.98290598290599</v>
      </c>
      <c r="BK120" s="27"/>
    </row>
    <row r="121" spans="1:75" s="15" customFormat="1">
      <c r="A121" s="13" t="s">
        <v>216</v>
      </c>
      <c r="B121" s="14" t="s">
        <v>89</v>
      </c>
      <c r="C121" s="15" t="s">
        <v>35</v>
      </c>
      <c r="D121" s="15" t="s">
        <v>36</v>
      </c>
      <c r="E121" s="15">
        <v>56</v>
      </c>
      <c r="F121" s="16" t="s">
        <v>71</v>
      </c>
      <c r="H121" s="15" t="s">
        <v>91</v>
      </c>
      <c r="J121" s="15" t="s">
        <v>51</v>
      </c>
      <c r="K121" s="15">
        <v>7.4</v>
      </c>
      <c r="M121" s="15" t="s">
        <v>285</v>
      </c>
      <c r="O121" s="15">
        <v>6.6</v>
      </c>
      <c r="P121" s="15" t="s">
        <v>42</v>
      </c>
      <c r="T121" s="14" t="s">
        <v>43</v>
      </c>
      <c r="U121" s="14">
        <v>25</v>
      </c>
      <c r="V121" s="14" t="s">
        <v>44</v>
      </c>
      <c r="W121" s="14"/>
      <c r="X121" s="14"/>
      <c r="Y121" s="14"/>
      <c r="AF121" s="18">
        <v>53.8</v>
      </c>
      <c r="AG121" s="18">
        <f>2.449*3.8</f>
        <v>9.3061999999999987</v>
      </c>
      <c r="AH121" s="15">
        <v>6</v>
      </c>
      <c r="AI121" s="15">
        <f t="shared" si="13"/>
        <v>375</v>
      </c>
      <c r="AJ121" s="24">
        <f t="shared" si="11"/>
        <v>0.375</v>
      </c>
      <c r="AK121" s="15">
        <v>274</v>
      </c>
      <c r="AL121" s="23">
        <f>2.449*19</f>
        <v>46.530999999999999</v>
      </c>
      <c r="AM121" s="15">
        <v>101</v>
      </c>
      <c r="AN121" s="23">
        <f>2.449*6</f>
        <v>14.693999999999999</v>
      </c>
      <c r="AV121" s="19"/>
      <c r="AW121" s="58"/>
      <c r="AX121" s="21"/>
      <c r="AY121" s="51"/>
      <c r="AZ121" s="51"/>
      <c r="BA121" s="51"/>
      <c r="BB121" s="51"/>
      <c r="BC121" s="52"/>
      <c r="BD121" s="51"/>
      <c r="BE121" s="21">
        <f t="shared" si="14"/>
        <v>0.36861313868613138</v>
      </c>
      <c r="BF121" s="15">
        <f>(AI121-AI122)/AI122</f>
        <v>0.19808306709265175</v>
      </c>
      <c r="BI121" s="22"/>
      <c r="BK121" s="27"/>
    </row>
    <row r="122" spans="1:75" s="15" customFormat="1">
      <c r="A122" s="13" t="s">
        <v>216</v>
      </c>
      <c r="B122" s="14" t="s">
        <v>89</v>
      </c>
      <c r="C122" s="15" t="s">
        <v>38</v>
      </c>
      <c r="D122" s="15" t="s">
        <v>36</v>
      </c>
      <c r="E122" s="15">
        <v>56</v>
      </c>
      <c r="F122" s="16" t="s">
        <v>71</v>
      </c>
      <c r="H122" s="15" t="s">
        <v>91</v>
      </c>
      <c r="J122" s="15" t="s">
        <v>51</v>
      </c>
      <c r="K122" s="15">
        <v>7.4</v>
      </c>
      <c r="M122" s="15" t="s">
        <v>285</v>
      </c>
      <c r="O122" s="15">
        <v>6.6</v>
      </c>
      <c r="P122" s="15" t="s">
        <v>42</v>
      </c>
      <c r="T122" s="14" t="s">
        <v>43</v>
      </c>
      <c r="U122" s="14">
        <v>25</v>
      </c>
      <c r="V122" s="14" t="s">
        <v>44</v>
      </c>
      <c r="W122" s="14"/>
      <c r="X122" s="14"/>
      <c r="Y122" s="14"/>
      <c r="AF122" s="18">
        <v>6.5</v>
      </c>
      <c r="AG122" s="18">
        <f>2.449*2</f>
        <v>4.8979999999999997</v>
      </c>
      <c r="AH122" s="15">
        <v>6</v>
      </c>
      <c r="AI122" s="15">
        <f t="shared" si="13"/>
        <v>313</v>
      </c>
      <c r="AJ122" s="24">
        <f t="shared" si="11"/>
        <v>0.313</v>
      </c>
      <c r="AK122" s="15">
        <v>227</v>
      </c>
      <c r="AL122" s="23">
        <f>2.449*17</f>
        <v>41.632999999999996</v>
      </c>
      <c r="AM122" s="15">
        <v>86</v>
      </c>
      <c r="AN122" s="23">
        <f>2.449*5</f>
        <v>12.244999999999999</v>
      </c>
      <c r="AV122" s="19"/>
      <c r="AW122" s="58"/>
      <c r="AX122" s="21"/>
      <c r="AY122" s="51"/>
      <c r="AZ122" s="51"/>
      <c r="BA122" s="51"/>
      <c r="BB122" s="51"/>
      <c r="BC122" s="52"/>
      <c r="BD122" s="51"/>
      <c r="BE122" s="21">
        <f t="shared" si="14"/>
        <v>0.3788546255506608</v>
      </c>
      <c r="BI122" s="22"/>
      <c r="BJ122" s="23"/>
      <c r="BK122" s="27"/>
    </row>
    <row r="123" spans="1:75" s="15" customFormat="1">
      <c r="A123" s="13" t="s">
        <v>216</v>
      </c>
      <c r="B123" s="14" t="s">
        <v>89</v>
      </c>
      <c r="C123" s="15" t="s">
        <v>35</v>
      </c>
      <c r="D123" s="15" t="s">
        <v>36</v>
      </c>
      <c r="E123" s="15">
        <v>56</v>
      </c>
      <c r="F123" s="16" t="s">
        <v>55</v>
      </c>
      <c r="H123" s="15" t="s">
        <v>91</v>
      </c>
      <c r="J123" s="15" t="s">
        <v>51</v>
      </c>
      <c r="K123" s="15">
        <v>7.4</v>
      </c>
      <c r="M123" s="15" t="s">
        <v>285</v>
      </c>
      <c r="O123" s="15">
        <v>6.6</v>
      </c>
      <c r="P123" s="15" t="s">
        <v>42</v>
      </c>
      <c r="T123" s="14" t="s">
        <v>43</v>
      </c>
      <c r="U123" s="14">
        <v>25</v>
      </c>
      <c r="V123" s="14" t="s">
        <v>44</v>
      </c>
      <c r="W123" s="14"/>
      <c r="X123" s="14"/>
      <c r="Y123" s="14"/>
      <c r="AF123" s="18">
        <v>48</v>
      </c>
      <c r="AG123" s="18">
        <f>2.449*6.3</f>
        <v>15.428699999999999</v>
      </c>
      <c r="AH123" s="15">
        <v>6</v>
      </c>
      <c r="AI123" s="15">
        <f t="shared" si="13"/>
        <v>482</v>
      </c>
      <c r="AJ123" s="24">
        <f t="shared" si="11"/>
        <v>0.48199999999999998</v>
      </c>
      <c r="AK123" s="15">
        <v>340</v>
      </c>
      <c r="AL123" s="23">
        <f>2.449*30</f>
        <v>73.47</v>
      </c>
      <c r="AM123" s="15">
        <v>142</v>
      </c>
      <c r="AN123" s="23">
        <f>2.449*14</f>
        <v>34.286000000000001</v>
      </c>
      <c r="AV123" s="19"/>
      <c r="AW123" s="58"/>
      <c r="AX123" s="21"/>
      <c r="AY123" s="51"/>
      <c r="AZ123" s="51"/>
      <c r="BA123" s="51"/>
      <c r="BB123" s="51"/>
      <c r="BC123" s="52"/>
      <c r="BD123" s="51"/>
      <c r="BE123" s="21">
        <f t="shared" si="14"/>
        <v>0.41764705882352943</v>
      </c>
      <c r="BF123" s="15">
        <f>(AI123-AI124)/AI124</f>
        <v>1.0598290598290598</v>
      </c>
      <c r="BI123" s="22"/>
      <c r="BK123" s="27"/>
    </row>
    <row r="124" spans="1:75" s="15" customFormat="1">
      <c r="A124" s="13" t="s">
        <v>216</v>
      </c>
      <c r="B124" s="14" t="s">
        <v>89</v>
      </c>
      <c r="C124" s="15" t="s">
        <v>38</v>
      </c>
      <c r="D124" s="15" t="s">
        <v>36</v>
      </c>
      <c r="E124" s="15">
        <v>56</v>
      </c>
      <c r="F124" s="16" t="s">
        <v>55</v>
      </c>
      <c r="H124" s="15" t="s">
        <v>91</v>
      </c>
      <c r="J124" s="15" t="s">
        <v>51</v>
      </c>
      <c r="K124" s="15">
        <v>7.4</v>
      </c>
      <c r="M124" s="15" t="s">
        <v>285</v>
      </c>
      <c r="O124" s="15">
        <v>6.6</v>
      </c>
      <c r="P124" s="15" t="s">
        <v>42</v>
      </c>
      <c r="T124" s="14" t="s">
        <v>43</v>
      </c>
      <c r="U124" s="14">
        <v>25</v>
      </c>
      <c r="V124" s="14" t="s">
        <v>44</v>
      </c>
      <c r="W124" s="14"/>
      <c r="X124" s="14"/>
      <c r="Y124" s="14"/>
      <c r="AF124" s="18">
        <v>15.8</v>
      </c>
      <c r="AG124" s="18">
        <f>2.449*5.4</f>
        <v>13.224600000000001</v>
      </c>
      <c r="AH124" s="15">
        <v>6</v>
      </c>
      <c r="AI124" s="15">
        <f t="shared" si="13"/>
        <v>234</v>
      </c>
      <c r="AJ124" s="24">
        <f t="shared" si="11"/>
        <v>0.23400000000000001</v>
      </c>
      <c r="AK124" s="15">
        <v>174</v>
      </c>
      <c r="AL124" s="23">
        <f>2.449*19</f>
        <v>46.530999999999999</v>
      </c>
      <c r="AM124" s="15">
        <v>60</v>
      </c>
      <c r="AN124" s="23">
        <f>2.449*9</f>
        <v>22.040999999999997</v>
      </c>
      <c r="AV124" s="19"/>
      <c r="AW124" s="58"/>
      <c r="AX124" s="21"/>
      <c r="AY124" s="51"/>
      <c r="AZ124" s="51"/>
      <c r="BA124" s="51"/>
      <c r="BB124" s="51"/>
      <c r="BC124" s="52"/>
      <c r="BD124" s="51"/>
      <c r="BE124" s="21">
        <f t="shared" si="14"/>
        <v>0.34482758620689657</v>
      </c>
      <c r="BI124" s="22"/>
      <c r="BJ124" s="23"/>
      <c r="BK124" s="27"/>
    </row>
    <row r="125" spans="1:75" s="27" customFormat="1">
      <c r="A125" s="25" t="s">
        <v>217</v>
      </c>
      <c r="B125" s="26" t="s">
        <v>92</v>
      </c>
      <c r="C125" s="27" t="s">
        <v>35</v>
      </c>
      <c r="D125" s="27" t="s">
        <v>36</v>
      </c>
      <c r="E125" s="27">
        <v>28</v>
      </c>
      <c r="F125" s="28" t="s">
        <v>93</v>
      </c>
      <c r="N125" s="27">
        <v>7</v>
      </c>
      <c r="O125" s="27">
        <v>7</v>
      </c>
      <c r="P125" s="27" t="s">
        <v>62</v>
      </c>
      <c r="Q125" s="27" t="s">
        <v>62</v>
      </c>
      <c r="T125" s="26"/>
      <c r="U125" s="26"/>
      <c r="V125" s="26"/>
      <c r="W125" s="26"/>
      <c r="X125" s="26"/>
      <c r="Y125" s="26"/>
      <c r="AF125" s="27">
        <v>73</v>
      </c>
      <c r="AG125" s="27">
        <f>1.73*3</f>
        <v>5.1899999999999995</v>
      </c>
      <c r="AH125" s="27">
        <v>3</v>
      </c>
      <c r="AI125" s="27">
        <v>2.25</v>
      </c>
      <c r="AJ125" s="31">
        <f t="shared" si="11"/>
        <v>2.2499999999999998E-3</v>
      </c>
      <c r="AV125" s="56"/>
      <c r="AW125" s="57"/>
      <c r="AX125" s="37"/>
      <c r="AY125" s="38"/>
      <c r="AZ125" s="38"/>
      <c r="BA125" s="38"/>
      <c r="BB125" s="38"/>
      <c r="BC125" s="39"/>
      <c r="BD125" s="38"/>
      <c r="BE125" s="37"/>
      <c r="BF125" s="27">
        <f>(AI125-AI126)/AI126</f>
        <v>1.9220779220779221</v>
      </c>
      <c r="BI125" s="22"/>
      <c r="BJ125" s="23">
        <f t="shared" ref="BJ125" si="15">BF125*100</f>
        <v>192.20779220779221</v>
      </c>
    </row>
    <row r="126" spans="1:75" s="27" customFormat="1">
      <c r="A126" s="25" t="s">
        <v>217</v>
      </c>
      <c r="B126" s="26" t="s">
        <v>92</v>
      </c>
      <c r="C126" s="27" t="s">
        <v>38</v>
      </c>
      <c r="D126" s="27" t="s">
        <v>36</v>
      </c>
      <c r="E126" s="27">
        <v>28</v>
      </c>
      <c r="F126" s="28" t="s">
        <v>93</v>
      </c>
      <c r="N126" s="27">
        <v>7</v>
      </c>
      <c r="O126" s="27">
        <v>7</v>
      </c>
      <c r="P126" s="27" t="s">
        <v>62</v>
      </c>
      <c r="Q126" s="27" t="s">
        <v>62</v>
      </c>
      <c r="T126" s="26"/>
      <c r="U126" s="26"/>
      <c r="V126" s="26"/>
      <c r="W126" s="26"/>
      <c r="X126" s="26"/>
      <c r="Y126" s="26"/>
      <c r="AF126" s="27">
        <v>0</v>
      </c>
      <c r="AG126" s="27">
        <f>1.73*0</f>
        <v>0</v>
      </c>
      <c r="AH126" s="27">
        <v>3</v>
      </c>
      <c r="AI126" s="27">
        <v>0.77</v>
      </c>
      <c r="AJ126" s="31">
        <f t="shared" si="11"/>
        <v>7.7000000000000007E-4</v>
      </c>
      <c r="AV126" s="56"/>
      <c r="AW126" s="57"/>
      <c r="AX126" s="37"/>
      <c r="AY126" s="38"/>
      <c r="AZ126" s="38"/>
      <c r="BA126" s="38"/>
      <c r="BB126" s="38"/>
      <c r="BC126" s="39"/>
      <c r="BD126" s="38"/>
      <c r="BE126" s="37"/>
      <c r="BI126" s="22"/>
      <c r="BJ126" s="23">
        <f>BF127*100</f>
        <v>252.72727272727269</v>
      </c>
    </row>
    <row r="127" spans="1:75" s="77" customFormat="1">
      <c r="A127" s="25" t="s">
        <v>217</v>
      </c>
      <c r="B127" s="75" t="s">
        <v>92</v>
      </c>
      <c r="C127" s="55" t="s">
        <v>35</v>
      </c>
      <c r="D127" s="55" t="s">
        <v>36</v>
      </c>
      <c r="E127" s="55">
        <v>28</v>
      </c>
      <c r="F127" s="76" t="s">
        <v>88</v>
      </c>
      <c r="G127" s="55"/>
      <c r="H127" s="55"/>
      <c r="I127" s="55"/>
      <c r="J127" s="55"/>
      <c r="K127" s="55"/>
      <c r="L127" s="55"/>
      <c r="M127" s="55"/>
      <c r="N127" s="55">
        <v>7</v>
      </c>
      <c r="O127" s="55">
        <v>7</v>
      </c>
      <c r="P127" s="55" t="s">
        <v>62</v>
      </c>
      <c r="Q127" s="55" t="s">
        <v>62</v>
      </c>
      <c r="R127" s="55"/>
      <c r="S127" s="55"/>
      <c r="T127" s="75"/>
      <c r="U127" s="75"/>
      <c r="V127" s="75"/>
      <c r="W127" s="75"/>
      <c r="X127" s="75"/>
      <c r="Y127" s="75"/>
      <c r="Z127" s="55"/>
      <c r="AA127" s="55"/>
      <c r="AB127" s="55"/>
      <c r="AC127" s="55"/>
      <c r="AD127" s="55"/>
      <c r="AE127" s="55"/>
      <c r="AF127" s="55">
        <v>88</v>
      </c>
      <c r="AG127" s="27">
        <f>1.73*2</f>
        <v>3.46</v>
      </c>
      <c r="AH127" s="27">
        <v>3</v>
      </c>
      <c r="AI127" s="27">
        <v>1.94</v>
      </c>
      <c r="AJ127" s="31">
        <f t="shared" si="11"/>
        <v>1.9399999999999999E-3</v>
      </c>
      <c r="AK127" s="27"/>
      <c r="AL127" s="27"/>
      <c r="AM127" s="27"/>
      <c r="AN127" s="27"/>
      <c r="AO127" s="27"/>
      <c r="AP127" s="27"/>
      <c r="AQ127" s="27"/>
      <c r="AR127" s="27"/>
      <c r="AS127" s="27"/>
      <c r="AT127" s="27"/>
      <c r="AU127" s="27"/>
      <c r="AV127" s="56"/>
      <c r="AW127" s="57"/>
      <c r="AX127" s="37"/>
      <c r="AY127" s="38"/>
      <c r="AZ127" s="38"/>
      <c r="BA127" s="38"/>
      <c r="BB127" s="38"/>
      <c r="BC127" s="39"/>
      <c r="BD127" s="38"/>
      <c r="BE127" s="37"/>
      <c r="BF127" s="27">
        <f>(AI127-AI128)/AI128</f>
        <v>2.5272727272727269</v>
      </c>
      <c r="BG127" s="27"/>
      <c r="BH127" s="27"/>
      <c r="BI127" s="22"/>
      <c r="BJ127" s="23">
        <f>BF129*100</f>
        <v>21.535181236673768</v>
      </c>
      <c r="BK127" s="27"/>
      <c r="BN127" s="27"/>
      <c r="BO127" s="27"/>
      <c r="BP127" s="27"/>
      <c r="BQ127" s="27"/>
      <c r="BR127" s="27"/>
      <c r="BS127" s="27"/>
      <c r="BT127" s="27"/>
      <c r="BU127" s="27"/>
      <c r="BV127" s="27"/>
      <c r="BW127" s="27"/>
    </row>
    <row r="128" spans="1:75" s="77" customFormat="1">
      <c r="A128" s="25" t="s">
        <v>217</v>
      </c>
      <c r="B128" s="26" t="s">
        <v>92</v>
      </c>
      <c r="C128" s="27" t="s">
        <v>38</v>
      </c>
      <c r="D128" s="55" t="s">
        <v>36</v>
      </c>
      <c r="E128" s="55">
        <v>28</v>
      </c>
      <c r="F128" s="76" t="s">
        <v>88</v>
      </c>
      <c r="G128" s="55"/>
      <c r="H128" s="55"/>
      <c r="I128" s="55"/>
      <c r="J128" s="27"/>
      <c r="K128" s="27"/>
      <c r="L128" s="27"/>
      <c r="M128" s="27"/>
      <c r="N128" s="27">
        <v>7</v>
      </c>
      <c r="O128" s="27">
        <v>7</v>
      </c>
      <c r="P128" s="55" t="s">
        <v>62</v>
      </c>
      <c r="Q128" s="55" t="s">
        <v>62</v>
      </c>
      <c r="R128" s="55"/>
      <c r="S128" s="27"/>
      <c r="T128" s="26"/>
      <c r="U128" s="26"/>
      <c r="V128" s="26"/>
      <c r="W128" s="26"/>
      <c r="X128" s="26"/>
      <c r="Y128" s="26"/>
      <c r="Z128" s="27"/>
      <c r="AA128" s="27"/>
      <c r="AB128" s="27"/>
      <c r="AC128" s="27"/>
      <c r="AD128" s="27"/>
      <c r="AE128" s="27"/>
      <c r="AF128" s="27">
        <v>19</v>
      </c>
      <c r="AG128" s="27">
        <f>1.73*3</f>
        <v>5.1899999999999995</v>
      </c>
      <c r="AH128" s="27">
        <v>3</v>
      </c>
      <c r="AI128" s="27">
        <v>0.55000000000000004</v>
      </c>
      <c r="AJ128" s="31">
        <f t="shared" si="11"/>
        <v>5.5000000000000003E-4</v>
      </c>
      <c r="AK128" s="27"/>
      <c r="AL128" s="27"/>
      <c r="AM128" s="27"/>
      <c r="AN128" s="27"/>
      <c r="AO128" s="27"/>
      <c r="AP128" s="27"/>
      <c r="AQ128" s="27"/>
      <c r="AR128" s="27"/>
      <c r="AS128" s="27"/>
      <c r="AT128" s="27"/>
      <c r="AU128" s="27"/>
      <c r="AV128" s="56"/>
      <c r="AW128" s="57"/>
      <c r="AX128" s="37"/>
      <c r="AY128" s="38"/>
      <c r="AZ128" s="38"/>
      <c r="BA128" s="38"/>
      <c r="BB128" s="38"/>
      <c r="BC128" s="39"/>
      <c r="BD128" s="38"/>
      <c r="BE128" s="37"/>
      <c r="BF128" s="27"/>
      <c r="BG128" s="27"/>
      <c r="BH128" s="27"/>
      <c r="BI128" s="22"/>
      <c r="BJ128" s="23">
        <f>BF131*100</f>
        <v>50.938967136150239</v>
      </c>
      <c r="BK128" s="27"/>
      <c r="BN128" s="27"/>
      <c r="BO128" s="27"/>
      <c r="BP128" s="27"/>
      <c r="BQ128" s="27"/>
      <c r="BR128" s="27"/>
      <c r="BS128" s="27"/>
      <c r="BT128" s="27"/>
      <c r="BU128" s="27"/>
      <c r="BV128" s="27"/>
      <c r="BW128" s="27"/>
    </row>
    <row r="129" spans="1:75" s="77" customFormat="1">
      <c r="A129" s="25" t="s">
        <v>217</v>
      </c>
      <c r="B129" s="26" t="s">
        <v>92</v>
      </c>
      <c r="C129" s="27" t="s">
        <v>35</v>
      </c>
      <c r="D129" s="55" t="s">
        <v>36</v>
      </c>
      <c r="E129" s="55">
        <v>28</v>
      </c>
      <c r="F129" s="76" t="s">
        <v>94</v>
      </c>
      <c r="G129" s="55"/>
      <c r="H129" s="55"/>
      <c r="I129" s="55"/>
      <c r="J129" s="27"/>
      <c r="K129" s="27"/>
      <c r="L129" s="27"/>
      <c r="M129" s="27"/>
      <c r="N129" s="27">
        <v>7</v>
      </c>
      <c r="O129" s="27">
        <v>7</v>
      </c>
      <c r="P129" s="55" t="s">
        <v>62</v>
      </c>
      <c r="Q129" s="55" t="s">
        <v>62</v>
      </c>
      <c r="R129" s="55"/>
      <c r="S129" s="27"/>
      <c r="T129" s="26"/>
      <c r="U129" s="26"/>
      <c r="V129" s="26"/>
      <c r="W129" s="26"/>
      <c r="X129" s="26"/>
      <c r="Y129" s="26"/>
      <c r="Z129" s="27"/>
      <c r="AA129" s="27"/>
      <c r="AB129" s="27"/>
      <c r="AC129" s="27"/>
      <c r="AD129" s="27"/>
      <c r="AE129" s="27"/>
      <c r="AF129" s="27">
        <v>56</v>
      </c>
      <c r="AG129" s="27">
        <f>1.73*2</f>
        <v>3.46</v>
      </c>
      <c r="AH129" s="27">
        <v>3</v>
      </c>
      <c r="AI129" s="27">
        <v>1.1399999999999999</v>
      </c>
      <c r="AJ129" s="31">
        <f t="shared" si="11"/>
        <v>1.14E-3</v>
      </c>
      <c r="AK129" s="27"/>
      <c r="AL129" s="27"/>
      <c r="AM129" s="27"/>
      <c r="AN129" s="27"/>
      <c r="AO129" s="27"/>
      <c r="AP129" s="27"/>
      <c r="AQ129" s="27"/>
      <c r="AR129" s="27"/>
      <c r="AS129" s="27"/>
      <c r="AT129" s="27"/>
      <c r="AU129" s="27"/>
      <c r="AV129" s="56"/>
      <c r="AW129" s="57"/>
      <c r="AX129" s="37"/>
      <c r="AY129" s="38"/>
      <c r="AZ129" s="38"/>
      <c r="BA129" s="38"/>
      <c r="BB129" s="38"/>
      <c r="BC129" s="39"/>
      <c r="BD129" s="38"/>
      <c r="BE129" s="37"/>
      <c r="BF129" s="27">
        <f>(AI129-AI130)/AI130</f>
        <v>0.2153518123667377</v>
      </c>
      <c r="BG129" s="27"/>
      <c r="BH129" s="27"/>
      <c r="BI129" s="22"/>
      <c r="BJ129" s="23">
        <f>BF133*100</f>
        <v>51.529411764705891</v>
      </c>
      <c r="BK129" s="27"/>
      <c r="BN129" s="27"/>
      <c r="BO129" s="27"/>
      <c r="BP129" s="27"/>
      <c r="BQ129" s="27"/>
      <c r="BR129" s="27"/>
      <c r="BS129" s="27"/>
      <c r="BT129" s="27"/>
      <c r="BU129" s="27"/>
      <c r="BV129" s="27"/>
      <c r="BW129" s="27"/>
    </row>
    <row r="130" spans="1:75" s="77" customFormat="1">
      <c r="A130" s="25" t="s">
        <v>217</v>
      </c>
      <c r="B130" s="26" t="s">
        <v>92</v>
      </c>
      <c r="C130" s="27" t="s">
        <v>38</v>
      </c>
      <c r="D130" s="55" t="s">
        <v>36</v>
      </c>
      <c r="E130" s="55">
        <v>28</v>
      </c>
      <c r="F130" s="76" t="s">
        <v>94</v>
      </c>
      <c r="G130" s="55"/>
      <c r="H130" s="55"/>
      <c r="I130" s="55"/>
      <c r="J130" s="27"/>
      <c r="K130" s="27"/>
      <c r="L130" s="27"/>
      <c r="M130" s="27"/>
      <c r="N130" s="27">
        <v>7</v>
      </c>
      <c r="O130" s="27">
        <v>7</v>
      </c>
      <c r="P130" s="55" t="s">
        <v>62</v>
      </c>
      <c r="Q130" s="55" t="s">
        <v>62</v>
      </c>
      <c r="R130" s="55"/>
      <c r="S130" s="27"/>
      <c r="T130" s="26"/>
      <c r="U130" s="26"/>
      <c r="V130" s="26"/>
      <c r="W130" s="26"/>
      <c r="X130" s="26"/>
      <c r="Y130" s="26"/>
      <c r="Z130" s="27"/>
      <c r="AA130" s="27"/>
      <c r="AB130" s="27"/>
      <c r="AC130" s="27"/>
      <c r="AD130" s="27"/>
      <c r="AE130" s="27"/>
      <c r="AF130" s="27">
        <v>0</v>
      </c>
      <c r="AG130" s="27">
        <f>1.73*0</f>
        <v>0</v>
      </c>
      <c r="AH130" s="27">
        <v>3</v>
      </c>
      <c r="AI130" s="27">
        <v>0.93799999999999994</v>
      </c>
      <c r="AJ130" s="31">
        <f t="shared" si="11"/>
        <v>9.3799999999999992E-4</v>
      </c>
      <c r="AK130" s="27"/>
      <c r="AL130" s="27"/>
      <c r="AM130" s="27"/>
      <c r="AN130" s="27"/>
      <c r="AO130" s="27"/>
      <c r="AP130" s="27"/>
      <c r="AQ130" s="27"/>
      <c r="AR130" s="27"/>
      <c r="AS130" s="27"/>
      <c r="AT130" s="27"/>
      <c r="AU130" s="27"/>
      <c r="AV130" s="56"/>
      <c r="AW130" s="57"/>
      <c r="AX130" s="37"/>
      <c r="AY130" s="38"/>
      <c r="AZ130" s="38"/>
      <c r="BA130" s="38"/>
      <c r="BB130" s="38"/>
      <c r="BC130" s="39"/>
      <c r="BD130" s="38"/>
      <c r="BE130" s="37"/>
      <c r="BF130" s="27"/>
      <c r="BG130" s="27"/>
      <c r="BH130" s="27"/>
      <c r="BI130" s="22"/>
      <c r="BJ130" s="23">
        <f>BF135*100</f>
        <v>640.5797101449275</v>
      </c>
      <c r="BK130" s="27"/>
      <c r="BN130" s="27"/>
      <c r="BO130" s="27"/>
      <c r="BP130" s="27"/>
      <c r="BQ130" s="27"/>
      <c r="BR130" s="27"/>
      <c r="BS130" s="27"/>
      <c r="BT130" s="27"/>
      <c r="BU130" s="27"/>
      <c r="BV130" s="27"/>
      <c r="BW130" s="27"/>
    </row>
    <row r="131" spans="1:75" s="77" customFormat="1">
      <c r="A131" s="25" t="s">
        <v>217</v>
      </c>
      <c r="B131" s="26" t="s">
        <v>92</v>
      </c>
      <c r="C131" s="27" t="s">
        <v>35</v>
      </c>
      <c r="D131" s="55" t="s">
        <v>36</v>
      </c>
      <c r="E131" s="55">
        <v>56</v>
      </c>
      <c r="F131" s="76" t="s">
        <v>93</v>
      </c>
      <c r="G131" s="55"/>
      <c r="H131" s="55"/>
      <c r="I131" s="55"/>
      <c r="J131" s="27"/>
      <c r="K131" s="27"/>
      <c r="L131" s="27"/>
      <c r="M131" s="27"/>
      <c r="N131" s="27">
        <v>7</v>
      </c>
      <c r="O131" s="27">
        <v>7</v>
      </c>
      <c r="P131" s="55" t="s">
        <v>62</v>
      </c>
      <c r="Q131" s="55" t="s">
        <v>62</v>
      </c>
      <c r="R131" s="55"/>
      <c r="S131" s="27"/>
      <c r="T131" s="26"/>
      <c r="U131" s="26"/>
      <c r="V131" s="26"/>
      <c r="W131" s="26"/>
      <c r="X131" s="26"/>
      <c r="Y131" s="26"/>
      <c r="Z131" s="27"/>
      <c r="AA131" s="27"/>
      <c r="AB131" s="27"/>
      <c r="AC131" s="27"/>
      <c r="AD131" s="27"/>
      <c r="AE131" s="27"/>
      <c r="AF131" s="27">
        <v>79</v>
      </c>
      <c r="AG131" s="27">
        <f>1.73*5</f>
        <v>8.65</v>
      </c>
      <c r="AH131" s="27">
        <v>4</v>
      </c>
      <c r="AI131" s="27">
        <v>6.43</v>
      </c>
      <c r="AJ131" s="31">
        <f t="shared" si="11"/>
        <v>6.43E-3</v>
      </c>
      <c r="AK131" s="27"/>
      <c r="AL131" s="27"/>
      <c r="AM131" s="27"/>
      <c r="AN131" s="27"/>
      <c r="AO131" s="27"/>
      <c r="AP131" s="27"/>
      <c r="AQ131" s="27"/>
      <c r="AR131" s="27"/>
      <c r="AS131" s="27"/>
      <c r="AT131" s="27"/>
      <c r="AU131" s="27"/>
      <c r="AV131" s="56"/>
      <c r="AW131" s="57"/>
      <c r="AX131" s="37"/>
      <c r="AY131" s="38"/>
      <c r="AZ131" s="38"/>
      <c r="BA131" s="38"/>
      <c r="BB131" s="38"/>
      <c r="BC131" s="39"/>
      <c r="BD131" s="38"/>
      <c r="BE131" s="37"/>
      <c r="BF131" s="27">
        <f>(AI131-AI132)/AI132</f>
        <v>0.50938967136150237</v>
      </c>
      <c r="BG131" s="27"/>
      <c r="BH131" s="27"/>
      <c r="BI131" s="22"/>
      <c r="BK131" s="27"/>
      <c r="BN131" s="27"/>
      <c r="BO131" s="27"/>
      <c r="BP131" s="27"/>
      <c r="BQ131" s="27"/>
      <c r="BR131" s="27"/>
      <c r="BS131" s="27"/>
      <c r="BT131" s="27"/>
      <c r="BU131" s="27"/>
      <c r="BV131" s="27"/>
      <c r="BW131" s="27"/>
    </row>
    <row r="132" spans="1:75" s="77" customFormat="1">
      <c r="A132" s="25" t="s">
        <v>217</v>
      </c>
      <c r="B132" s="26" t="s">
        <v>92</v>
      </c>
      <c r="C132" s="27" t="s">
        <v>38</v>
      </c>
      <c r="D132" s="55" t="s">
        <v>36</v>
      </c>
      <c r="E132" s="55">
        <v>56</v>
      </c>
      <c r="F132" s="76" t="s">
        <v>93</v>
      </c>
      <c r="G132" s="55"/>
      <c r="H132" s="55"/>
      <c r="I132" s="55"/>
      <c r="J132" s="27"/>
      <c r="K132" s="27"/>
      <c r="L132" s="27"/>
      <c r="M132" s="27"/>
      <c r="N132" s="27">
        <v>7</v>
      </c>
      <c r="O132" s="27">
        <v>7</v>
      </c>
      <c r="P132" s="55" t="s">
        <v>62</v>
      </c>
      <c r="Q132" s="55" t="s">
        <v>62</v>
      </c>
      <c r="R132" s="55"/>
      <c r="S132" s="27"/>
      <c r="T132" s="26"/>
      <c r="U132" s="26"/>
      <c r="V132" s="26"/>
      <c r="W132" s="26"/>
      <c r="X132" s="26"/>
      <c r="Y132" s="26"/>
      <c r="Z132" s="27"/>
      <c r="AA132" s="27"/>
      <c r="AB132" s="27"/>
      <c r="AC132" s="27"/>
      <c r="AD132" s="27"/>
      <c r="AE132" s="27"/>
      <c r="AF132" s="27">
        <v>0</v>
      </c>
      <c r="AG132" s="27">
        <f>1.73*0</f>
        <v>0</v>
      </c>
      <c r="AH132" s="27">
        <v>4</v>
      </c>
      <c r="AI132" s="27">
        <v>4.26</v>
      </c>
      <c r="AJ132" s="31">
        <f t="shared" si="11"/>
        <v>4.2599999999999999E-3</v>
      </c>
      <c r="AK132" s="27"/>
      <c r="AL132" s="27"/>
      <c r="AM132" s="27"/>
      <c r="AN132" s="27"/>
      <c r="AO132" s="27"/>
      <c r="AP132" s="27"/>
      <c r="AQ132" s="27"/>
      <c r="AR132" s="27"/>
      <c r="AS132" s="27"/>
      <c r="AT132" s="27"/>
      <c r="AU132" s="27"/>
      <c r="AV132" s="56"/>
      <c r="AW132" s="57"/>
      <c r="AX132" s="37"/>
      <c r="AY132" s="38"/>
      <c r="AZ132" s="38"/>
      <c r="BA132" s="38"/>
      <c r="BB132" s="38"/>
      <c r="BC132" s="39"/>
      <c r="BD132" s="38"/>
      <c r="BE132" s="37"/>
      <c r="BF132" s="27"/>
      <c r="BG132" s="27"/>
      <c r="BH132" s="27"/>
      <c r="BI132" s="22"/>
      <c r="BJ132" s="23"/>
      <c r="BK132" s="27"/>
      <c r="BN132" s="27"/>
      <c r="BO132" s="27"/>
      <c r="BP132" s="27"/>
      <c r="BQ132" s="27"/>
      <c r="BR132" s="27"/>
      <c r="BS132" s="27"/>
      <c r="BT132" s="27"/>
      <c r="BU132" s="27"/>
      <c r="BV132" s="27"/>
      <c r="BW132" s="27"/>
    </row>
    <row r="133" spans="1:75" s="77" customFormat="1">
      <c r="A133" s="25" t="s">
        <v>217</v>
      </c>
      <c r="B133" s="26" t="s">
        <v>92</v>
      </c>
      <c r="C133" s="27" t="s">
        <v>35</v>
      </c>
      <c r="D133" s="55" t="s">
        <v>36</v>
      </c>
      <c r="E133" s="55">
        <v>56</v>
      </c>
      <c r="F133" s="76" t="s">
        <v>88</v>
      </c>
      <c r="G133" s="55"/>
      <c r="H133" s="55"/>
      <c r="I133" s="55"/>
      <c r="J133" s="27"/>
      <c r="K133" s="27"/>
      <c r="L133" s="27"/>
      <c r="M133" s="27"/>
      <c r="N133" s="27">
        <v>7</v>
      </c>
      <c r="O133" s="27">
        <v>7</v>
      </c>
      <c r="P133" s="55" t="s">
        <v>62</v>
      </c>
      <c r="Q133" s="55" t="s">
        <v>62</v>
      </c>
      <c r="R133" s="55"/>
      <c r="S133" s="27"/>
      <c r="T133" s="26"/>
      <c r="U133" s="26"/>
      <c r="V133" s="26"/>
      <c r="W133" s="26"/>
      <c r="X133" s="26"/>
      <c r="Y133" s="26"/>
      <c r="Z133" s="27"/>
      <c r="AA133" s="27"/>
      <c r="AB133" s="27"/>
      <c r="AC133" s="27"/>
      <c r="AD133" s="27"/>
      <c r="AE133" s="27"/>
      <c r="AF133" s="27">
        <v>81</v>
      </c>
      <c r="AG133" s="27">
        <f>1.73*1</f>
        <v>1.73</v>
      </c>
      <c r="AH133" s="27">
        <v>4</v>
      </c>
      <c r="AI133" s="27">
        <v>6.44</v>
      </c>
      <c r="AJ133" s="31">
        <f t="shared" si="11"/>
        <v>6.4400000000000004E-3</v>
      </c>
      <c r="AK133" s="27"/>
      <c r="AL133" s="27"/>
      <c r="AM133" s="27"/>
      <c r="AN133" s="27"/>
      <c r="AO133" s="27"/>
      <c r="AP133" s="27"/>
      <c r="AQ133" s="27"/>
      <c r="AR133" s="27"/>
      <c r="AS133" s="27"/>
      <c r="AT133" s="27"/>
      <c r="AU133" s="27"/>
      <c r="AV133" s="56"/>
      <c r="AW133" s="57"/>
      <c r="AX133" s="37"/>
      <c r="AY133" s="38"/>
      <c r="AZ133" s="38"/>
      <c r="BA133" s="38"/>
      <c r="BB133" s="38"/>
      <c r="BC133" s="39"/>
      <c r="BD133" s="38"/>
      <c r="BE133" s="37"/>
      <c r="BF133" s="27">
        <f>(AI133-AI134)/AI134</f>
        <v>0.5152941176470589</v>
      </c>
      <c r="BG133" s="27"/>
      <c r="BH133" s="27"/>
      <c r="BI133" s="22"/>
      <c r="BK133" s="27"/>
      <c r="BN133" s="27"/>
      <c r="BO133" s="27"/>
      <c r="BP133" s="27"/>
      <c r="BQ133" s="27"/>
      <c r="BR133" s="27"/>
      <c r="BS133" s="27"/>
      <c r="BT133" s="27"/>
      <c r="BU133" s="27"/>
      <c r="BV133" s="27"/>
      <c r="BW133" s="27"/>
    </row>
    <row r="134" spans="1:75" s="77" customFormat="1">
      <c r="A134" s="25" t="s">
        <v>217</v>
      </c>
      <c r="B134" s="78" t="s">
        <v>92</v>
      </c>
      <c r="C134" s="42" t="s">
        <v>38</v>
      </c>
      <c r="D134" s="55" t="s">
        <v>36</v>
      </c>
      <c r="E134" s="55">
        <v>56</v>
      </c>
      <c r="F134" s="76" t="s">
        <v>88</v>
      </c>
      <c r="G134" s="55"/>
      <c r="H134" s="55"/>
      <c r="I134" s="55"/>
      <c r="J134" s="27"/>
      <c r="K134" s="42"/>
      <c r="L134" s="42"/>
      <c r="M134" s="42"/>
      <c r="N134" s="42">
        <v>7</v>
      </c>
      <c r="O134" s="42">
        <v>7</v>
      </c>
      <c r="P134" s="55" t="s">
        <v>62</v>
      </c>
      <c r="Q134" s="55" t="s">
        <v>62</v>
      </c>
      <c r="R134" s="79"/>
      <c r="S134" s="42"/>
      <c r="T134" s="78"/>
      <c r="U134" s="78"/>
      <c r="V134" s="78"/>
      <c r="W134" s="78"/>
      <c r="X134" s="78"/>
      <c r="Y134" s="78"/>
      <c r="Z134" s="42"/>
      <c r="AA134" s="42"/>
      <c r="AB134" s="42"/>
      <c r="AC134" s="42"/>
      <c r="AD134" s="42"/>
      <c r="AE134" s="42"/>
      <c r="AF134" s="42">
        <v>35</v>
      </c>
      <c r="AG134" s="27">
        <f>1.73*4</f>
        <v>6.92</v>
      </c>
      <c r="AH134" s="27">
        <v>4</v>
      </c>
      <c r="AI134" s="27">
        <v>4.25</v>
      </c>
      <c r="AJ134" s="31">
        <f t="shared" si="11"/>
        <v>4.2500000000000003E-3</v>
      </c>
      <c r="AK134" s="27"/>
      <c r="AL134" s="27"/>
      <c r="AM134" s="27"/>
      <c r="AN134" s="27"/>
      <c r="AO134" s="27"/>
      <c r="AP134" s="27"/>
      <c r="AQ134" s="27"/>
      <c r="AR134" s="27"/>
      <c r="AS134" s="27"/>
      <c r="AT134" s="27"/>
      <c r="AU134" s="27"/>
      <c r="AV134" s="56"/>
      <c r="AW134" s="57"/>
      <c r="AX134" s="37"/>
      <c r="AY134" s="38"/>
      <c r="AZ134" s="38"/>
      <c r="BA134" s="38"/>
      <c r="BB134" s="38"/>
      <c r="BC134" s="39"/>
      <c r="BD134" s="38"/>
      <c r="BE134" s="37"/>
      <c r="BF134" s="27"/>
      <c r="BG134" s="27"/>
      <c r="BH134" s="27"/>
      <c r="BI134" s="22"/>
      <c r="BJ134" s="23"/>
      <c r="BK134" s="27"/>
      <c r="BN134" s="27"/>
      <c r="BO134" s="27"/>
      <c r="BP134" s="27"/>
      <c r="BQ134" s="27"/>
      <c r="BR134" s="27"/>
      <c r="BS134" s="27"/>
      <c r="BT134" s="27"/>
      <c r="BU134" s="27"/>
      <c r="BV134" s="27"/>
      <c r="BW134" s="27"/>
    </row>
    <row r="135" spans="1:75" s="27" customFormat="1">
      <c r="A135" s="25" t="s">
        <v>217</v>
      </c>
      <c r="B135" s="26" t="s">
        <v>92</v>
      </c>
      <c r="C135" s="27" t="s">
        <v>35</v>
      </c>
      <c r="D135" s="27" t="s">
        <v>36</v>
      </c>
      <c r="E135" s="27">
        <v>56</v>
      </c>
      <c r="F135" s="28" t="s">
        <v>94</v>
      </c>
      <c r="N135" s="27">
        <v>7</v>
      </c>
      <c r="O135" s="27">
        <v>7</v>
      </c>
      <c r="P135" s="27" t="s">
        <v>62</v>
      </c>
      <c r="Q135" s="27" t="s">
        <v>62</v>
      </c>
      <c r="T135" s="26"/>
      <c r="U135" s="26"/>
      <c r="V135" s="26"/>
      <c r="W135" s="26"/>
      <c r="X135" s="26"/>
      <c r="Y135" s="26"/>
      <c r="AF135" s="27">
        <v>55</v>
      </c>
      <c r="AG135" s="27">
        <f>1.73*5</f>
        <v>8.65</v>
      </c>
      <c r="AH135" s="27">
        <v>4</v>
      </c>
      <c r="AI135" s="27">
        <v>5.1100000000000003</v>
      </c>
      <c r="AJ135" s="31">
        <f t="shared" si="11"/>
        <v>5.11E-3</v>
      </c>
      <c r="AV135" s="56"/>
      <c r="AW135" s="57"/>
      <c r="AX135" s="37"/>
      <c r="AY135" s="38"/>
      <c r="AZ135" s="38"/>
      <c r="BA135" s="38"/>
      <c r="BB135" s="38"/>
      <c r="BC135" s="39"/>
      <c r="BD135" s="38"/>
      <c r="BE135" s="37"/>
      <c r="BF135" s="27">
        <f>(AI135-AI136)/AI136</f>
        <v>6.4057971014492754</v>
      </c>
      <c r="BI135" s="22"/>
    </row>
    <row r="136" spans="1:75" s="27" customFormat="1">
      <c r="A136" s="25" t="s">
        <v>217</v>
      </c>
      <c r="B136" s="26" t="s">
        <v>92</v>
      </c>
      <c r="C136" s="27" t="s">
        <v>38</v>
      </c>
      <c r="D136" s="27" t="s">
        <v>36</v>
      </c>
      <c r="E136" s="27">
        <v>56</v>
      </c>
      <c r="F136" s="28" t="s">
        <v>94</v>
      </c>
      <c r="N136" s="27">
        <v>7</v>
      </c>
      <c r="O136" s="27">
        <v>7</v>
      </c>
      <c r="P136" s="27" t="s">
        <v>62</v>
      </c>
      <c r="Q136" s="27" t="s">
        <v>62</v>
      </c>
      <c r="T136" s="26"/>
      <c r="U136" s="26"/>
      <c r="V136" s="26"/>
      <c r="W136" s="26"/>
      <c r="X136" s="26"/>
      <c r="Y136" s="26"/>
      <c r="AF136" s="27">
        <v>0</v>
      </c>
      <c r="AG136" s="27">
        <f>1.73*0</f>
        <v>0</v>
      </c>
      <c r="AH136" s="27">
        <v>4</v>
      </c>
      <c r="AI136" s="27">
        <v>0.69</v>
      </c>
      <c r="AJ136" s="31">
        <f t="shared" si="11"/>
        <v>6.8999999999999997E-4</v>
      </c>
      <c r="AV136" s="56"/>
      <c r="AW136" s="57"/>
      <c r="AX136" s="37"/>
      <c r="AY136" s="38"/>
      <c r="AZ136" s="38"/>
      <c r="BA136" s="38"/>
      <c r="BB136" s="38"/>
      <c r="BC136" s="39"/>
      <c r="BD136" s="38"/>
      <c r="BE136" s="37"/>
      <c r="BI136" s="22"/>
    </row>
    <row r="137" spans="1:75" s="15" customFormat="1">
      <c r="A137" s="13" t="s">
        <v>218</v>
      </c>
      <c r="B137" s="14" t="s">
        <v>95</v>
      </c>
      <c r="C137" s="15" t="s">
        <v>35</v>
      </c>
      <c r="D137" s="15" t="s">
        <v>36</v>
      </c>
      <c r="E137" s="15">
        <v>63</v>
      </c>
      <c r="F137" s="16" t="s">
        <v>37</v>
      </c>
      <c r="T137" s="14"/>
      <c r="U137" s="14"/>
      <c r="V137" s="14"/>
      <c r="W137" s="14"/>
      <c r="X137" s="14"/>
      <c r="Y137" s="14"/>
      <c r="AF137" s="18">
        <v>29.2</v>
      </c>
      <c r="AG137" s="18" t="s">
        <v>132</v>
      </c>
      <c r="AH137" s="15">
        <v>4</v>
      </c>
      <c r="AJ137" s="24"/>
      <c r="AK137" s="15">
        <v>110.7</v>
      </c>
      <c r="AV137" s="19"/>
      <c r="AW137" s="58"/>
      <c r="AX137" s="21"/>
      <c r="AY137" s="51"/>
      <c r="AZ137" s="51"/>
      <c r="BA137" s="51"/>
      <c r="BB137" s="51"/>
      <c r="BC137" s="52"/>
      <c r="BD137" s="51"/>
      <c r="BE137" s="21"/>
      <c r="BI137" s="22"/>
    </row>
    <row r="138" spans="1:75" s="15" customFormat="1">
      <c r="A138" s="13" t="s">
        <v>218</v>
      </c>
      <c r="B138" s="14" t="s">
        <v>95</v>
      </c>
      <c r="C138" s="15" t="s">
        <v>38</v>
      </c>
      <c r="D138" s="15" t="s">
        <v>36</v>
      </c>
      <c r="E138" s="15">
        <v>63</v>
      </c>
      <c r="F138" s="16" t="s">
        <v>37</v>
      </c>
      <c r="T138" s="14"/>
      <c r="U138" s="14"/>
      <c r="V138" s="14"/>
      <c r="W138" s="14"/>
      <c r="X138" s="14"/>
      <c r="Y138" s="14"/>
      <c r="AF138" s="18">
        <v>4.17</v>
      </c>
      <c r="AG138" s="18" t="s">
        <v>132</v>
      </c>
      <c r="AH138" s="15">
        <v>4</v>
      </c>
      <c r="AJ138" s="24"/>
      <c r="AK138" s="15">
        <v>122.4</v>
      </c>
      <c r="AV138" s="19"/>
      <c r="AW138" s="58"/>
      <c r="AX138" s="21"/>
      <c r="AY138" s="51"/>
      <c r="AZ138" s="51"/>
      <c r="BA138" s="51"/>
      <c r="BB138" s="51"/>
      <c r="BC138" s="52"/>
      <c r="BD138" s="51"/>
      <c r="BE138" s="21"/>
      <c r="BI138" s="22"/>
      <c r="BN138" s="59"/>
      <c r="BO138" s="59"/>
      <c r="BP138" s="59"/>
      <c r="BQ138" s="59"/>
      <c r="BR138" s="59"/>
      <c r="BS138" s="59"/>
      <c r="BT138" s="59"/>
      <c r="BU138" s="59"/>
      <c r="BV138" s="59"/>
      <c r="BW138" s="59"/>
    </row>
    <row r="139" spans="1:75" s="27" customFormat="1">
      <c r="A139" s="25" t="s">
        <v>219</v>
      </c>
      <c r="B139" s="80" t="s">
        <v>96</v>
      </c>
      <c r="C139" s="26" t="s">
        <v>35</v>
      </c>
      <c r="D139" s="26" t="s">
        <v>36</v>
      </c>
      <c r="E139" s="26">
        <v>63</v>
      </c>
      <c r="F139" s="28"/>
      <c r="G139" s="26"/>
      <c r="H139" s="26"/>
      <c r="I139" s="26"/>
      <c r="J139" s="56" t="s">
        <v>47</v>
      </c>
      <c r="K139" s="60">
        <v>6.4</v>
      </c>
      <c r="L139" s="27">
        <v>1.9</v>
      </c>
      <c r="M139" s="15" t="s">
        <v>283</v>
      </c>
      <c r="N139" s="83">
        <v>3.7719999999999998</v>
      </c>
      <c r="O139" s="27">
        <v>12.79</v>
      </c>
      <c r="P139" s="27" t="s">
        <v>42</v>
      </c>
      <c r="Q139" s="27" t="s">
        <v>42</v>
      </c>
      <c r="R139" s="27">
        <v>0.13</v>
      </c>
      <c r="S139" s="27">
        <v>0.13</v>
      </c>
      <c r="T139" s="74" t="s">
        <v>97</v>
      </c>
      <c r="U139" s="26">
        <v>0</v>
      </c>
      <c r="V139" s="26" t="s">
        <v>44</v>
      </c>
      <c r="W139" s="80">
        <v>3.7719999999999998</v>
      </c>
      <c r="X139" s="26" t="s">
        <v>44</v>
      </c>
      <c r="Y139" s="26" t="s">
        <v>42</v>
      </c>
      <c r="Z139" s="27" t="s">
        <v>45</v>
      </c>
      <c r="AA139" s="27">
        <v>0</v>
      </c>
      <c r="AB139" s="27" t="s">
        <v>44</v>
      </c>
      <c r="AC139" s="27">
        <v>0.13</v>
      </c>
      <c r="AD139" s="84" t="s">
        <v>44</v>
      </c>
      <c r="AF139" s="81">
        <v>87.4</v>
      </c>
      <c r="AG139" s="85">
        <v>4.1593268686169971</v>
      </c>
      <c r="AH139" s="86">
        <v>5</v>
      </c>
      <c r="AI139" s="87">
        <f t="shared" ref="AI139:AI178" si="16">AK139+AM139</f>
        <v>0.17093651792966408</v>
      </c>
      <c r="AJ139" s="31">
        <f t="shared" ref="AJ139:AJ190" si="17">AI139/1000</f>
        <v>1.7093651792966409E-4</v>
      </c>
      <c r="AK139" s="41">
        <v>0.11766000000000001</v>
      </c>
      <c r="AL139" s="38">
        <v>2.4467590809068213E-2</v>
      </c>
      <c r="AM139" s="41">
        <v>5.3276517929664077E-2</v>
      </c>
      <c r="AN139" s="38">
        <v>8.5617051985326757E-3</v>
      </c>
      <c r="AO139" s="29">
        <v>1228</v>
      </c>
      <c r="AP139" s="88">
        <v>53.572380943915498</v>
      </c>
      <c r="AQ139" s="29">
        <v>1550</v>
      </c>
      <c r="AR139" s="88">
        <v>203.46989949375805</v>
      </c>
      <c r="AS139" s="29">
        <v>93.763502422718531</v>
      </c>
      <c r="AT139" s="85">
        <v>6.4041424364195532</v>
      </c>
      <c r="AU139" s="81">
        <v>155.35936463061375</v>
      </c>
      <c r="AV139" s="85">
        <v>34.333782309934811</v>
      </c>
      <c r="AW139" s="36">
        <v>0.22706508279097931</v>
      </c>
      <c r="AX139" s="37">
        <v>1.9309219670341174E-2</v>
      </c>
      <c r="AY139" s="38">
        <v>0.14448648</v>
      </c>
      <c r="AZ139" s="38">
        <v>8.2578602790979325E-2</v>
      </c>
      <c r="BA139" s="38">
        <v>1.1032213695057063E-2</v>
      </c>
      <c r="BB139" s="38">
        <v>8.2770059752841126E-3</v>
      </c>
      <c r="BC139" s="39">
        <v>0.5715316948061806</v>
      </c>
      <c r="BD139" s="38">
        <v>0.75025794496643861</v>
      </c>
      <c r="BE139" s="37">
        <f t="shared" ref="BE139:BE178" si="18">AM139/AK139</f>
        <v>0.45280059433676756</v>
      </c>
      <c r="BF139" s="82">
        <v>118.31618917000363</v>
      </c>
      <c r="BG139" s="90">
        <v>656.64737883423243</v>
      </c>
      <c r="BH139" s="90">
        <v>276.26490061898141</v>
      </c>
      <c r="BI139" s="53"/>
      <c r="BK139" s="27" t="s">
        <v>98</v>
      </c>
      <c r="BN139" s="81">
        <v>28800</v>
      </c>
      <c r="BO139" s="81">
        <v>23800</v>
      </c>
      <c r="BP139" s="81">
        <v>26200</v>
      </c>
      <c r="BQ139" s="81">
        <v>4520</v>
      </c>
      <c r="BR139" s="82">
        <v>41.272709039212742</v>
      </c>
      <c r="BS139" s="82">
        <v>136.12548839460982</v>
      </c>
      <c r="BT139" s="82">
        <v>210</v>
      </c>
      <c r="BU139" s="82">
        <v>154.29326634549898</v>
      </c>
      <c r="BV139" s="81">
        <v>23200</v>
      </c>
      <c r="BW139" s="81">
        <v>5640</v>
      </c>
    </row>
    <row r="140" spans="1:75" s="27" customFormat="1">
      <c r="A140" s="25" t="s">
        <v>219</v>
      </c>
      <c r="B140" s="80" t="s">
        <v>96</v>
      </c>
      <c r="C140" s="26" t="s">
        <v>35</v>
      </c>
      <c r="D140" s="26" t="s">
        <v>36</v>
      </c>
      <c r="E140" s="26">
        <v>63</v>
      </c>
      <c r="F140" s="28"/>
      <c r="G140" s="26"/>
      <c r="H140" s="26"/>
      <c r="I140" s="26"/>
      <c r="J140" s="56" t="s">
        <v>47</v>
      </c>
      <c r="K140" s="60">
        <v>6.4</v>
      </c>
      <c r="L140" s="27">
        <v>1.9</v>
      </c>
      <c r="M140" s="15" t="s">
        <v>283</v>
      </c>
      <c r="N140" s="91">
        <v>19.898666670000001</v>
      </c>
      <c r="O140" s="27">
        <v>12.79</v>
      </c>
      <c r="P140" s="27" t="s">
        <v>42</v>
      </c>
      <c r="Q140" s="27" t="s">
        <v>42</v>
      </c>
      <c r="R140" s="27">
        <v>0.13</v>
      </c>
      <c r="S140" s="27">
        <v>0.13</v>
      </c>
      <c r="T140" s="74" t="s">
        <v>97</v>
      </c>
      <c r="U140" s="26">
        <v>25</v>
      </c>
      <c r="V140" s="26" t="s">
        <v>44</v>
      </c>
      <c r="W140" s="80">
        <v>19.898666666666667</v>
      </c>
      <c r="X140" s="26" t="s">
        <v>44</v>
      </c>
      <c r="Y140" s="26" t="s">
        <v>42</v>
      </c>
      <c r="Z140" s="27" t="s">
        <v>45</v>
      </c>
      <c r="AA140" s="27">
        <v>0</v>
      </c>
      <c r="AB140" s="27" t="s">
        <v>44</v>
      </c>
      <c r="AC140" s="27">
        <v>0.13</v>
      </c>
      <c r="AD140" s="84" t="s">
        <v>44</v>
      </c>
      <c r="AF140" s="81">
        <v>61.6</v>
      </c>
      <c r="AG140" s="85">
        <v>8.9888820216977035</v>
      </c>
      <c r="AH140" s="86">
        <v>5</v>
      </c>
      <c r="AI140" s="87">
        <f t="shared" si="16"/>
        <v>1.9739148473770893</v>
      </c>
      <c r="AJ140" s="31">
        <f t="shared" si="17"/>
        <v>1.9739148473770893E-3</v>
      </c>
      <c r="AK140" s="41">
        <v>1.4626800000000002</v>
      </c>
      <c r="AL140" s="38">
        <v>0.28297599191450817</v>
      </c>
      <c r="AM140" s="41">
        <v>0.51123484737708913</v>
      </c>
      <c r="AN140" s="38">
        <v>0.10662973640305562</v>
      </c>
      <c r="AO140" s="29">
        <v>2380</v>
      </c>
      <c r="AP140" s="88">
        <v>164.31676725154983</v>
      </c>
      <c r="AQ140" s="29">
        <v>2098</v>
      </c>
      <c r="AR140" s="88">
        <v>124.57929201917949</v>
      </c>
      <c r="AS140" s="29">
        <v>29.714496943466674</v>
      </c>
      <c r="AT140" s="85">
        <v>2.9561313948816093</v>
      </c>
      <c r="AU140" s="81">
        <v>47.08422272659827</v>
      </c>
      <c r="AV140" s="85">
        <v>9.3611904477154493</v>
      </c>
      <c r="AW140" s="36">
        <v>4.5537491097971339</v>
      </c>
      <c r="AX140" s="37">
        <v>6.7533895808771172E-2</v>
      </c>
      <c r="AY140" s="38">
        <v>3.4811784000000006</v>
      </c>
      <c r="AZ140" s="38">
        <v>1.0725707097971331</v>
      </c>
      <c r="BA140" s="38">
        <v>4.3462800389269841E-2</v>
      </c>
      <c r="BB140" s="38">
        <v>2.4071095419501337E-2</v>
      </c>
      <c r="BC140" s="39">
        <v>0.30810564313427113</v>
      </c>
      <c r="BD140" s="38">
        <v>0.55383213239623752</v>
      </c>
      <c r="BE140" s="37">
        <f t="shared" si="18"/>
        <v>0.34951927104841052</v>
      </c>
      <c r="BF140" s="82">
        <v>-9.4989183906039703</v>
      </c>
      <c r="BG140" s="92">
        <v>5.6542019946866047</v>
      </c>
      <c r="BH140" s="92">
        <v>29.751151858763706</v>
      </c>
      <c r="BI140" s="53"/>
      <c r="BN140" s="81">
        <v>26200</v>
      </c>
      <c r="BO140" s="81">
        <v>30200</v>
      </c>
      <c r="BP140" s="81">
        <v>14800</v>
      </c>
      <c r="BQ140" s="81">
        <v>3280</v>
      </c>
      <c r="BR140" s="82">
        <v>10.856481812728296</v>
      </c>
      <c r="BS140" s="82">
        <v>35.395458455718732</v>
      </c>
      <c r="BT140" s="82">
        <v>80.915924013618607</v>
      </c>
      <c r="BU140" s="82">
        <v>115.5693354503145</v>
      </c>
      <c r="BV140" s="81">
        <v>6240</v>
      </c>
      <c r="BW140" s="81">
        <v>5720</v>
      </c>
    </row>
    <row r="141" spans="1:75" s="27" customFormat="1">
      <c r="A141" s="25" t="s">
        <v>219</v>
      </c>
      <c r="B141" s="80" t="s">
        <v>96</v>
      </c>
      <c r="C141" s="26" t="s">
        <v>35</v>
      </c>
      <c r="D141" s="26" t="s">
        <v>36</v>
      </c>
      <c r="E141" s="26">
        <v>63</v>
      </c>
      <c r="F141" s="28"/>
      <c r="G141" s="26"/>
      <c r="H141" s="26"/>
      <c r="I141" s="26"/>
      <c r="J141" s="56" t="s">
        <v>47</v>
      </c>
      <c r="K141" s="60">
        <v>6.4</v>
      </c>
      <c r="L141" s="27">
        <v>1.9</v>
      </c>
      <c r="M141" s="15" t="s">
        <v>283</v>
      </c>
      <c r="N141" s="91">
        <v>38.485333330000003</v>
      </c>
      <c r="O141" s="27">
        <v>12.79</v>
      </c>
      <c r="P141" s="27" t="s">
        <v>42</v>
      </c>
      <c r="Q141" s="27" t="s">
        <v>42</v>
      </c>
      <c r="R141" s="27">
        <v>0.13</v>
      </c>
      <c r="S141" s="27">
        <v>0.13</v>
      </c>
      <c r="T141" s="74" t="s">
        <v>97</v>
      </c>
      <c r="U141" s="26">
        <v>50</v>
      </c>
      <c r="V141" s="26" t="s">
        <v>44</v>
      </c>
      <c r="W141" s="80">
        <v>38.485333333333337</v>
      </c>
      <c r="X141" s="26" t="s">
        <v>44</v>
      </c>
      <c r="Y141" s="26" t="s">
        <v>42</v>
      </c>
      <c r="Z141" s="27" t="s">
        <v>45</v>
      </c>
      <c r="AA141" s="27">
        <v>0</v>
      </c>
      <c r="AB141" s="27" t="s">
        <v>44</v>
      </c>
      <c r="AC141" s="27">
        <v>0.13</v>
      </c>
      <c r="AD141" s="84" t="s">
        <v>44</v>
      </c>
      <c r="AF141" s="81">
        <v>57.6</v>
      </c>
      <c r="AG141" s="85">
        <v>3.4351128074635602</v>
      </c>
      <c r="AH141" s="86">
        <v>5</v>
      </c>
      <c r="AI141" s="87">
        <f t="shared" si="16"/>
        <v>1.927748347337948</v>
      </c>
      <c r="AJ141" s="31">
        <f t="shared" si="17"/>
        <v>1.9277483473379481E-3</v>
      </c>
      <c r="AK141" s="41">
        <v>1.5006799999999998</v>
      </c>
      <c r="AL141" s="38">
        <v>0.13361703484211992</v>
      </c>
      <c r="AM141" s="41">
        <v>0.42706834733794807</v>
      </c>
      <c r="AN141" s="38">
        <v>5.9623590061697089E-2</v>
      </c>
      <c r="AO141" s="29">
        <v>4840</v>
      </c>
      <c r="AP141" s="88">
        <v>384.70768123342691</v>
      </c>
      <c r="AQ141" s="29">
        <v>3080</v>
      </c>
      <c r="AR141" s="88">
        <v>389.87177379235857</v>
      </c>
      <c r="AS141" s="29">
        <v>27.365157789477259</v>
      </c>
      <c r="AT141" s="85">
        <v>4.8821020546169569</v>
      </c>
      <c r="AU141" s="81">
        <v>35.666584437482904</v>
      </c>
      <c r="AV141" s="85">
        <v>3.4870277091900785</v>
      </c>
      <c r="AW141" s="36">
        <v>8.5786617098008797</v>
      </c>
      <c r="AX141" s="37">
        <v>5.6298414262417933E-2</v>
      </c>
      <c r="AY141" s="38">
        <v>7.2632911999999994</v>
      </c>
      <c r="AZ141" s="38">
        <v>1.3153705098008801</v>
      </c>
      <c r="BA141" s="38">
        <v>4.1066344991512731E-2</v>
      </c>
      <c r="BB141" s="38">
        <v>1.5232069270905202E-2</v>
      </c>
      <c r="BC141" s="39">
        <v>0.18109841304460988</v>
      </c>
      <c r="BD141" s="38">
        <v>0.37091368306707712</v>
      </c>
      <c r="BE141" s="37">
        <f t="shared" si="18"/>
        <v>0.28458322049867268</v>
      </c>
      <c r="BF141" s="82">
        <v>-8.8723596513620961</v>
      </c>
      <c r="BG141" s="92">
        <v>7.0564667949032254</v>
      </c>
      <c r="BH141" s="92">
        <v>-1.0569064182254864</v>
      </c>
      <c r="BI141" s="53"/>
      <c r="BN141" s="81">
        <v>23020</v>
      </c>
      <c r="BO141" s="81">
        <v>30400</v>
      </c>
      <c r="BP141" s="81">
        <v>15560</v>
      </c>
      <c r="BQ141" s="81">
        <v>3380</v>
      </c>
      <c r="BR141" s="82">
        <v>9.7442421016817189</v>
      </c>
      <c r="BS141" s="82">
        <v>50.821799853773911</v>
      </c>
      <c r="BT141" s="82">
        <v>64.613110734436049</v>
      </c>
      <c r="BU141" s="82">
        <v>96.470042080825507</v>
      </c>
      <c r="BV141" s="81">
        <v>6480</v>
      </c>
      <c r="BW141" s="81">
        <v>5940</v>
      </c>
    </row>
    <row r="142" spans="1:75" s="27" customFormat="1">
      <c r="A142" s="25" t="s">
        <v>219</v>
      </c>
      <c r="B142" s="80" t="s">
        <v>96</v>
      </c>
      <c r="C142" s="26" t="s">
        <v>35</v>
      </c>
      <c r="D142" s="26" t="s">
        <v>36</v>
      </c>
      <c r="E142" s="26">
        <v>63</v>
      </c>
      <c r="F142" s="28"/>
      <c r="G142" s="26"/>
      <c r="H142" s="26"/>
      <c r="I142" s="26"/>
      <c r="J142" s="56" t="s">
        <v>47</v>
      </c>
      <c r="K142" s="60">
        <v>6.4</v>
      </c>
      <c r="L142" s="27">
        <v>1.9</v>
      </c>
      <c r="M142" s="15" t="s">
        <v>283</v>
      </c>
      <c r="N142" s="91">
        <v>53.463999999999999</v>
      </c>
      <c r="O142" s="27">
        <v>12.79</v>
      </c>
      <c r="P142" s="27" t="s">
        <v>42</v>
      </c>
      <c r="Q142" s="27" t="s">
        <v>42</v>
      </c>
      <c r="R142" s="27">
        <v>0.13</v>
      </c>
      <c r="S142" s="27">
        <v>0.13</v>
      </c>
      <c r="T142" s="74" t="s">
        <v>97</v>
      </c>
      <c r="U142" s="26">
        <v>75</v>
      </c>
      <c r="V142" s="26" t="s">
        <v>44</v>
      </c>
      <c r="W142" s="80">
        <v>53.463999999999999</v>
      </c>
      <c r="X142" s="26" t="s">
        <v>44</v>
      </c>
      <c r="Y142" s="26" t="s">
        <v>42</v>
      </c>
      <c r="Z142" s="27" t="s">
        <v>45</v>
      </c>
      <c r="AA142" s="27">
        <v>0</v>
      </c>
      <c r="AB142" s="27" t="s">
        <v>44</v>
      </c>
      <c r="AC142" s="27">
        <v>0.13</v>
      </c>
      <c r="AD142" s="84" t="s">
        <v>44</v>
      </c>
      <c r="AF142" s="81">
        <v>51.8</v>
      </c>
      <c r="AG142" s="85">
        <v>10.449880382090496</v>
      </c>
      <c r="AH142" s="86">
        <v>5</v>
      </c>
      <c r="AI142" s="87">
        <f t="shared" si="16"/>
        <v>1.9961465993797043</v>
      </c>
      <c r="AJ142" s="31">
        <f t="shared" si="17"/>
        <v>1.9961465993797041E-3</v>
      </c>
      <c r="AK142" s="41">
        <v>1.5568</v>
      </c>
      <c r="AL142" s="38">
        <v>9.6643261534366406E-2</v>
      </c>
      <c r="AM142" s="41">
        <v>0.43934659937970427</v>
      </c>
      <c r="AN142" s="38">
        <v>8.5952227616165389E-2</v>
      </c>
      <c r="AO142" s="29">
        <v>6040</v>
      </c>
      <c r="AP142" s="88">
        <v>687.74995456197598</v>
      </c>
      <c r="AQ142" s="29">
        <v>4040</v>
      </c>
      <c r="AR142" s="88">
        <v>250.99800796022265</v>
      </c>
      <c r="AS142" s="29">
        <v>24.528661833086357</v>
      </c>
      <c r="AT142" s="85">
        <v>3.3969969920613114</v>
      </c>
      <c r="AU142" s="81">
        <v>42.162546380678492</v>
      </c>
      <c r="AV142" s="85">
        <v>8.3968795838814234</v>
      </c>
      <c r="AW142" s="36">
        <v>11.178032261494005</v>
      </c>
      <c r="AX142" s="37">
        <v>5.6710192115288993E-2</v>
      </c>
      <c r="AY142" s="38">
        <v>9.4030719999999999</v>
      </c>
      <c r="AZ142" s="38">
        <v>1.7749602614940052</v>
      </c>
      <c r="BA142" s="38">
        <v>3.8186220741748836E-2</v>
      </c>
      <c r="BB142" s="38">
        <v>1.8523971373540154E-2</v>
      </c>
      <c r="BC142" s="39">
        <v>0.18876387009415702</v>
      </c>
      <c r="BD142" s="38">
        <v>0.48509569718398377</v>
      </c>
      <c r="BE142" s="37">
        <f t="shared" si="18"/>
        <v>0.28221133053680902</v>
      </c>
      <c r="BF142" s="82">
        <v>-3.5131096009704685</v>
      </c>
      <c r="BG142" s="92">
        <v>9.4494036027999488</v>
      </c>
      <c r="BH142" s="92">
        <v>13.077969035879173</v>
      </c>
      <c r="BI142" s="53"/>
      <c r="BN142" s="81">
        <v>23000</v>
      </c>
      <c r="BO142" s="81">
        <v>26800</v>
      </c>
      <c r="BP142" s="81">
        <v>16980</v>
      </c>
      <c r="BQ142" s="81">
        <v>3600</v>
      </c>
      <c r="BR142" s="82">
        <v>9.6264304257563307</v>
      </c>
      <c r="BS142" s="82">
        <v>41.512376781755982</v>
      </c>
      <c r="BT142" s="82">
        <v>63.017938451114148</v>
      </c>
      <c r="BU142" s="82">
        <v>95.198879902712889</v>
      </c>
      <c r="BV142" s="81">
        <v>6680</v>
      </c>
      <c r="BW142" s="81">
        <v>5640</v>
      </c>
    </row>
    <row r="143" spans="1:75" s="27" customFormat="1">
      <c r="A143" s="25" t="s">
        <v>219</v>
      </c>
      <c r="B143" s="80" t="s">
        <v>96</v>
      </c>
      <c r="C143" s="26" t="s">
        <v>35</v>
      </c>
      <c r="D143" s="26" t="s">
        <v>36</v>
      </c>
      <c r="E143" s="26">
        <v>63</v>
      </c>
      <c r="F143" s="28"/>
      <c r="G143" s="26"/>
      <c r="H143" s="26"/>
      <c r="I143" s="26"/>
      <c r="J143" s="56" t="s">
        <v>47</v>
      </c>
      <c r="K143" s="60">
        <v>6.4</v>
      </c>
      <c r="L143" s="27">
        <v>1.9</v>
      </c>
      <c r="M143" s="15" t="s">
        <v>283</v>
      </c>
      <c r="N143" s="91">
        <v>76.424000000000007</v>
      </c>
      <c r="O143" s="27">
        <v>12.79</v>
      </c>
      <c r="P143" s="27" t="s">
        <v>42</v>
      </c>
      <c r="Q143" s="27" t="s">
        <v>42</v>
      </c>
      <c r="R143" s="27">
        <v>0.13</v>
      </c>
      <c r="S143" s="27">
        <v>0.13</v>
      </c>
      <c r="T143" s="74" t="s">
        <v>97</v>
      </c>
      <c r="U143" s="26">
        <v>100</v>
      </c>
      <c r="V143" s="26" t="s">
        <v>44</v>
      </c>
      <c r="W143" s="80">
        <v>76.424000000000021</v>
      </c>
      <c r="X143" s="26" t="s">
        <v>44</v>
      </c>
      <c r="Y143" s="26" t="s">
        <v>42</v>
      </c>
      <c r="Z143" s="27" t="s">
        <v>45</v>
      </c>
      <c r="AA143" s="27">
        <v>0</v>
      </c>
      <c r="AB143" s="27" t="s">
        <v>44</v>
      </c>
      <c r="AC143" s="27">
        <v>0.13</v>
      </c>
      <c r="AD143" s="84" t="s">
        <v>44</v>
      </c>
      <c r="AF143" s="81">
        <v>41.4</v>
      </c>
      <c r="AG143" s="85">
        <v>14.099645385611661</v>
      </c>
      <c r="AH143" s="86">
        <v>5</v>
      </c>
      <c r="AI143" s="87">
        <f t="shared" si="16"/>
        <v>2.1461459723456913</v>
      </c>
      <c r="AJ143" s="31">
        <f t="shared" si="17"/>
        <v>2.1461459723456913E-3</v>
      </c>
      <c r="AK143" s="41">
        <v>1.67008</v>
      </c>
      <c r="AL143" s="38">
        <v>7.652549901829675E-2</v>
      </c>
      <c r="AM143" s="41">
        <v>0.47606597234569109</v>
      </c>
      <c r="AN143" s="38">
        <v>9.5587809631817316E-2</v>
      </c>
      <c r="AO143" s="29">
        <v>6640</v>
      </c>
      <c r="AP143" s="88">
        <v>472.2287581247038</v>
      </c>
      <c r="AQ143" s="29">
        <v>4980</v>
      </c>
      <c r="AR143" s="88">
        <v>605.80524923443841</v>
      </c>
      <c r="AS143" s="29">
        <v>23.443391791875605</v>
      </c>
      <c r="AT143" s="85">
        <v>4.6237017544595496</v>
      </c>
      <c r="AU143" s="81">
        <v>31.193269689354942</v>
      </c>
      <c r="AV143" s="85">
        <v>10.697349596120551</v>
      </c>
      <c r="AW143" s="36">
        <v>13.460139742281541</v>
      </c>
      <c r="AX143" s="37">
        <v>5.4002394029079748E-2</v>
      </c>
      <c r="AY143" s="38">
        <v>11.0893312</v>
      </c>
      <c r="AZ143" s="38">
        <v>2.3708085422815417</v>
      </c>
      <c r="BA143" s="38">
        <v>3.9152339763775613E-2</v>
      </c>
      <c r="BB143" s="38">
        <v>1.4850054265304133E-2</v>
      </c>
      <c r="BC143" s="39">
        <v>0.2137918418634247</v>
      </c>
      <c r="BD143" s="38">
        <v>0.37928906305220733</v>
      </c>
      <c r="BE143" s="37">
        <f t="shared" si="18"/>
        <v>0.28505578915123292</v>
      </c>
      <c r="BF143" s="82">
        <v>-1.5232701186049571</v>
      </c>
      <c r="BG143" s="92">
        <v>11.285946437002494</v>
      </c>
      <c r="BH143" s="92">
        <v>15.301680879243168</v>
      </c>
      <c r="BI143" s="53"/>
      <c r="BN143" s="81">
        <v>23400</v>
      </c>
      <c r="BO143" s="81">
        <v>27200</v>
      </c>
      <c r="BP143" s="81">
        <v>16940</v>
      </c>
      <c r="BQ143" s="81">
        <v>3460</v>
      </c>
      <c r="BR143" s="82">
        <v>8.6631413424467123</v>
      </c>
      <c r="BS143" s="82">
        <v>35.373938204612713</v>
      </c>
      <c r="BT143" s="82">
        <v>60.453119268877195</v>
      </c>
      <c r="BU143" s="82">
        <v>78.336993375428364</v>
      </c>
      <c r="BV143" s="81">
        <v>6440</v>
      </c>
      <c r="BW143" s="81">
        <v>6300</v>
      </c>
    </row>
    <row r="144" spans="1:75" s="27" customFormat="1">
      <c r="A144" s="25" t="s">
        <v>219</v>
      </c>
      <c r="B144" s="80" t="s">
        <v>96</v>
      </c>
      <c r="C144" s="26" t="s">
        <v>35</v>
      </c>
      <c r="D144" s="26" t="s">
        <v>36</v>
      </c>
      <c r="E144" s="26">
        <v>63</v>
      </c>
      <c r="F144" s="28"/>
      <c r="G144" s="26"/>
      <c r="H144" s="26"/>
      <c r="I144" s="26"/>
      <c r="J144" s="56" t="s">
        <v>47</v>
      </c>
      <c r="K144" s="60">
        <v>6.4</v>
      </c>
      <c r="L144" s="27">
        <v>1.9</v>
      </c>
      <c r="M144" s="15" t="s">
        <v>283</v>
      </c>
      <c r="N144" s="91">
        <v>3.7719999999999998</v>
      </c>
      <c r="O144" s="27">
        <v>12.79</v>
      </c>
      <c r="P144" s="27" t="s">
        <v>42</v>
      </c>
      <c r="Q144" s="27" t="s">
        <v>42</v>
      </c>
      <c r="R144" s="27">
        <v>85.61</v>
      </c>
      <c r="S144" s="27">
        <v>85.61</v>
      </c>
      <c r="T144" s="74" t="s">
        <v>97</v>
      </c>
      <c r="U144" s="26">
        <v>0</v>
      </c>
      <c r="V144" s="26" t="s">
        <v>44</v>
      </c>
      <c r="W144" s="80">
        <v>3.7719999999999998</v>
      </c>
      <c r="X144" s="26" t="s">
        <v>44</v>
      </c>
      <c r="Y144" s="26" t="s">
        <v>42</v>
      </c>
      <c r="Z144" s="27" t="s">
        <v>45</v>
      </c>
      <c r="AA144" s="27">
        <v>100</v>
      </c>
      <c r="AB144" s="27" t="s">
        <v>44</v>
      </c>
      <c r="AC144" s="27">
        <v>85.61</v>
      </c>
      <c r="AD144" s="84" t="s">
        <v>44</v>
      </c>
      <c r="AF144" s="81">
        <v>53</v>
      </c>
      <c r="AG144" s="85">
        <v>7.7781745930520225</v>
      </c>
      <c r="AH144" s="86">
        <v>5</v>
      </c>
      <c r="AI144" s="87">
        <f t="shared" si="16"/>
        <v>6.5499934056092196E-2</v>
      </c>
      <c r="AJ144" s="31">
        <f t="shared" si="17"/>
        <v>6.5499934056092201E-5</v>
      </c>
      <c r="AK144" s="41">
        <v>3.7560000000000003E-2</v>
      </c>
      <c r="AL144" s="38">
        <v>8.2281832745752254E-3</v>
      </c>
      <c r="AM144" s="41">
        <v>2.7939934056092186E-2</v>
      </c>
      <c r="AN144" s="38">
        <v>9.4051315313033561E-3</v>
      </c>
      <c r="AO144" s="29">
        <v>1050</v>
      </c>
      <c r="AP144" s="88">
        <v>46.36809247747852</v>
      </c>
      <c r="AQ144" s="29">
        <v>1694</v>
      </c>
      <c r="AR144" s="88">
        <v>430.90602223686778</v>
      </c>
      <c r="AS144" s="29">
        <v>1412</v>
      </c>
      <c r="AT144" s="85">
        <v>232.31444208227779</v>
      </c>
      <c r="AU144" s="81">
        <v>4460</v>
      </c>
      <c r="AV144" s="85">
        <v>1150.2173707608488</v>
      </c>
      <c r="AW144" s="36">
        <v>8.6768248291020172E-2</v>
      </c>
      <c r="AX144" s="37">
        <v>0.17764682589017117</v>
      </c>
      <c r="AY144" s="38">
        <v>3.9438000000000008E-2</v>
      </c>
      <c r="AZ144" s="38">
        <v>4.7330248291020165E-2</v>
      </c>
      <c r="BA144" s="38">
        <v>5.3034720000000007E-2</v>
      </c>
      <c r="BB144" s="38">
        <v>0.12461210589017115</v>
      </c>
      <c r="BC144" s="39">
        <v>1.2001178632542258</v>
      </c>
      <c r="BD144" s="38">
        <v>2.3496325782463097</v>
      </c>
      <c r="BE144" s="37">
        <f t="shared" si="18"/>
        <v>0.74387470862865235</v>
      </c>
      <c r="BF144" s="82">
        <v>34.007679303079591</v>
      </c>
      <c r="BG144" s="92">
        <v>253.39041989997494</v>
      </c>
      <c r="BH144" s="92">
        <v>56.94538546776446</v>
      </c>
      <c r="BI144" s="53"/>
      <c r="BN144" s="81">
        <v>14360</v>
      </c>
      <c r="BO144" s="81">
        <v>21200</v>
      </c>
      <c r="BP144" s="81">
        <v>30200</v>
      </c>
      <c r="BQ144" s="81">
        <v>3380</v>
      </c>
      <c r="BR144" s="82">
        <v>47.158126158568237</v>
      </c>
      <c r="BS144" s="82">
        <v>88.341560955425706</v>
      </c>
      <c r="BT144" s="82">
        <v>334</v>
      </c>
      <c r="BU144" s="82">
        <v>175.96515251532429</v>
      </c>
      <c r="BV144" s="81">
        <v>29000</v>
      </c>
      <c r="BW144" s="81">
        <v>5220</v>
      </c>
    </row>
    <row r="145" spans="1:75" s="27" customFormat="1">
      <c r="A145" s="25" t="s">
        <v>219</v>
      </c>
      <c r="B145" s="80" t="s">
        <v>96</v>
      </c>
      <c r="C145" s="26" t="s">
        <v>35</v>
      </c>
      <c r="D145" s="26" t="s">
        <v>36</v>
      </c>
      <c r="E145" s="26">
        <v>63</v>
      </c>
      <c r="F145" s="28"/>
      <c r="G145" s="26"/>
      <c r="H145" s="26"/>
      <c r="I145" s="26"/>
      <c r="J145" s="56" t="s">
        <v>47</v>
      </c>
      <c r="K145" s="60">
        <v>6.4</v>
      </c>
      <c r="L145" s="27">
        <v>1.9</v>
      </c>
      <c r="M145" s="15" t="s">
        <v>283</v>
      </c>
      <c r="N145" s="91">
        <v>19.898666670000001</v>
      </c>
      <c r="O145" s="27">
        <v>12.79</v>
      </c>
      <c r="P145" s="27" t="s">
        <v>42</v>
      </c>
      <c r="Q145" s="27" t="s">
        <v>42</v>
      </c>
      <c r="R145" s="27">
        <v>85.61</v>
      </c>
      <c r="S145" s="27">
        <v>85.61</v>
      </c>
      <c r="T145" s="74" t="s">
        <v>97</v>
      </c>
      <c r="U145" s="26">
        <v>25</v>
      </c>
      <c r="V145" s="26" t="s">
        <v>44</v>
      </c>
      <c r="W145" s="80">
        <v>19.898666666666667</v>
      </c>
      <c r="X145" s="26" t="s">
        <v>44</v>
      </c>
      <c r="Y145" s="26" t="s">
        <v>42</v>
      </c>
      <c r="Z145" s="27" t="s">
        <v>45</v>
      </c>
      <c r="AA145" s="27">
        <v>100</v>
      </c>
      <c r="AB145" s="27" t="s">
        <v>44</v>
      </c>
      <c r="AC145" s="27">
        <v>85.61</v>
      </c>
      <c r="AD145" s="84" t="s">
        <v>44</v>
      </c>
      <c r="AF145" s="81">
        <v>32.200000000000003</v>
      </c>
      <c r="AG145" s="85">
        <v>7.0142711667000759</v>
      </c>
      <c r="AH145" s="86">
        <v>5</v>
      </c>
      <c r="AI145" s="87">
        <f t="shared" si="16"/>
        <v>1.5734210346057655</v>
      </c>
      <c r="AJ145" s="31">
        <f t="shared" si="17"/>
        <v>1.5734210346057655E-3</v>
      </c>
      <c r="AK145" s="41">
        <v>1.1357400000000002</v>
      </c>
      <c r="AL145" s="38">
        <v>0.14551093773321636</v>
      </c>
      <c r="AM145" s="41">
        <v>0.43768103460576524</v>
      </c>
      <c r="AN145" s="38">
        <v>2.9382022865983543E-2</v>
      </c>
      <c r="AO145" s="29">
        <v>1796</v>
      </c>
      <c r="AP145" s="88">
        <v>185.68791021496256</v>
      </c>
      <c r="AQ145" s="29">
        <v>1950</v>
      </c>
      <c r="AR145" s="88">
        <v>96.695398029068585</v>
      </c>
      <c r="AS145" s="29">
        <v>556</v>
      </c>
      <c r="AT145" s="85">
        <v>49.79959839195493</v>
      </c>
      <c r="AU145" s="81">
        <v>2600</v>
      </c>
      <c r="AV145" s="85">
        <v>200</v>
      </c>
      <c r="AW145" s="36">
        <v>2.8932670574812422</v>
      </c>
      <c r="AX145" s="37">
        <v>1.7694421299749896</v>
      </c>
      <c r="AY145" s="38">
        <v>2.0397890400000001</v>
      </c>
      <c r="AZ145" s="38">
        <v>0.85347801748124219</v>
      </c>
      <c r="BA145" s="38">
        <v>0.63147144000000011</v>
      </c>
      <c r="BB145" s="38">
        <v>1.1379706899749895</v>
      </c>
      <c r="BC145" s="39">
        <v>0.41841484621431352</v>
      </c>
      <c r="BD145" s="38">
        <v>1.8020936781796328</v>
      </c>
      <c r="BE145" s="37">
        <f t="shared" si="18"/>
        <v>0.38537080194918305</v>
      </c>
      <c r="BF145" s="82">
        <v>-14.897928875517261</v>
      </c>
      <c r="BG145" s="92">
        <v>-2.4019404567105349</v>
      </c>
      <c r="BH145" s="92">
        <v>-32.167053452788124</v>
      </c>
      <c r="BI145" s="53"/>
      <c r="BN145" s="81">
        <v>32600</v>
      </c>
      <c r="BO145" s="81">
        <v>32400</v>
      </c>
      <c r="BP145" s="81">
        <v>15060</v>
      </c>
      <c r="BQ145" s="81">
        <v>3340</v>
      </c>
      <c r="BR145" s="82">
        <v>15.447609313822813</v>
      </c>
      <c r="BS145" s="82">
        <v>24.526795922822352</v>
      </c>
      <c r="BT145" s="82">
        <v>90.503095223866893</v>
      </c>
      <c r="BU145" s="82">
        <v>108.13754726938551</v>
      </c>
      <c r="BV145" s="81">
        <v>7120</v>
      </c>
      <c r="BW145" s="81">
        <v>6560</v>
      </c>
    </row>
    <row r="146" spans="1:75" s="27" customFormat="1">
      <c r="A146" s="25" t="s">
        <v>219</v>
      </c>
      <c r="B146" s="80" t="s">
        <v>96</v>
      </c>
      <c r="C146" s="26" t="s">
        <v>35</v>
      </c>
      <c r="D146" s="26" t="s">
        <v>36</v>
      </c>
      <c r="E146" s="26">
        <v>63</v>
      </c>
      <c r="F146" s="28"/>
      <c r="G146" s="26"/>
      <c r="H146" s="26"/>
      <c r="I146" s="26"/>
      <c r="J146" s="56" t="s">
        <v>47</v>
      </c>
      <c r="K146" s="60">
        <v>6.4</v>
      </c>
      <c r="L146" s="27">
        <v>1.9</v>
      </c>
      <c r="M146" s="15" t="s">
        <v>283</v>
      </c>
      <c r="N146" s="91">
        <v>38.485333330000003</v>
      </c>
      <c r="O146" s="27">
        <v>12.79</v>
      </c>
      <c r="P146" s="27" t="s">
        <v>42</v>
      </c>
      <c r="Q146" s="27" t="s">
        <v>42</v>
      </c>
      <c r="R146" s="27">
        <v>85.61</v>
      </c>
      <c r="S146" s="27">
        <v>85.61</v>
      </c>
      <c r="T146" s="74" t="s">
        <v>97</v>
      </c>
      <c r="U146" s="26">
        <v>50</v>
      </c>
      <c r="V146" s="26" t="s">
        <v>44</v>
      </c>
      <c r="W146" s="80">
        <v>38.485333333333337</v>
      </c>
      <c r="X146" s="26" t="s">
        <v>44</v>
      </c>
      <c r="Y146" s="26" t="s">
        <v>42</v>
      </c>
      <c r="Z146" s="27" t="s">
        <v>45</v>
      </c>
      <c r="AA146" s="27">
        <v>100</v>
      </c>
      <c r="AB146" s="27" t="s">
        <v>44</v>
      </c>
      <c r="AC146" s="27">
        <v>85.61</v>
      </c>
      <c r="AD146" s="84" t="s">
        <v>44</v>
      </c>
      <c r="AF146" s="81">
        <v>26.2</v>
      </c>
      <c r="AG146" s="85">
        <v>4.7644516998286432</v>
      </c>
      <c r="AH146" s="86">
        <v>5</v>
      </c>
      <c r="AI146" s="87">
        <f t="shared" si="16"/>
        <v>1.6212644731636905</v>
      </c>
      <c r="AJ146" s="31">
        <f t="shared" si="17"/>
        <v>1.6212644731636904E-3</v>
      </c>
      <c r="AK146" s="41">
        <v>1.2309600000000001</v>
      </c>
      <c r="AL146" s="38">
        <v>7.7590837087895548E-2</v>
      </c>
      <c r="AM146" s="41">
        <v>0.39030447316369049</v>
      </c>
      <c r="AN146" s="38">
        <v>2.6594885303652494E-2</v>
      </c>
      <c r="AO146" s="29">
        <v>4320</v>
      </c>
      <c r="AP146" s="88">
        <v>506.95167422546302</v>
      </c>
      <c r="AQ146" s="29">
        <v>2360</v>
      </c>
      <c r="AR146" s="88">
        <v>207.3644135332772</v>
      </c>
      <c r="AS146" s="29">
        <v>538</v>
      </c>
      <c r="AT146" s="85">
        <v>54.497706373754852</v>
      </c>
      <c r="AU146" s="81">
        <v>2740</v>
      </c>
      <c r="AV146" s="85">
        <v>260.76809620810593</v>
      </c>
      <c r="AW146" s="36">
        <v>6.2388657566663097</v>
      </c>
      <c r="AX146" s="37">
        <v>1.7316907364685119</v>
      </c>
      <c r="AY146" s="38">
        <v>5.3177472000000003</v>
      </c>
      <c r="AZ146" s="38">
        <v>0.92111855666630948</v>
      </c>
      <c r="BA146" s="38">
        <v>0.66225648000000004</v>
      </c>
      <c r="BB146" s="38">
        <v>1.069434256468512</v>
      </c>
      <c r="BC146" s="39">
        <v>0.17321593562520413</v>
      </c>
      <c r="BD146" s="38">
        <v>1.6148339635249955</v>
      </c>
      <c r="BE146" s="37">
        <f t="shared" si="18"/>
        <v>0.317073238093594</v>
      </c>
      <c r="BF146" s="82">
        <v>-1.9417478194243007</v>
      </c>
      <c r="BG146" s="92">
        <v>4.1598230622484014</v>
      </c>
      <c r="BH146" s="92">
        <v>-22.054251469004925</v>
      </c>
      <c r="BI146" s="53"/>
      <c r="BN146" s="81">
        <v>30400</v>
      </c>
      <c r="BO146" s="81">
        <v>31400</v>
      </c>
      <c r="BP146" s="81">
        <v>15380</v>
      </c>
      <c r="BQ146" s="81">
        <v>3100</v>
      </c>
      <c r="BR146" s="82">
        <v>13.397481976501529</v>
      </c>
      <c r="BS146" s="82">
        <v>18.785579816734632</v>
      </c>
      <c r="BT146" s="82">
        <v>75.294344785105835</v>
      </c>
      <c r="BU146" s="82">
        <v>80.362305743091284</v>
      </c>
      <c r="BV146" s="81">
        <v>6620</v>
      </c>
      <c r="BW146" s="81">
        <v>6760</v>
      </c>
    </row>
    <row r="147" spans="1:75" s="27" customFormat="1">
      <c r="A147" s="25" t="s">
        <v>219</v>
      </c>
      <c r="B147" s="80" t="s">
        <v>96</v>
      </c>
      <c r="C147" s="26" t="s">
        <v>35</v>
      </c>
      <c r="D147" s="26" t="s">
        <v>36</v>
      </c>
      <c r="E147" s="26">
        <v>63</v>
      </c>
      <c r="F147" s="28"/>
      <c r="G147" s="26"/>
      <c r="H147" s="26"/>
      <c r="I147" s="26"/>
      <c r="J147" s="56" t="s">
        <v>47</v>
      </c>
      <c r="K147" s="60">
        <v>6.4</v>
      </c>
      <c r="L147" s="27">
        <v>1.9</v>
      </c>
      <c r="M147" s="15" t="s">
        <v>283</v>
      </c>
      <c r="N147" s="91">
        <v>53.463999999999999</v>
      </c>
      <c r="O147" s="27">
        <v>12.79</v>
      </c>
      <c r="P147" s="27" t="s">
        <v>42</v>
      </c>
      <c r="Q147" s="27" t="s">
        <v>42</v>
      </c>
      <c r="R147" s="27">
        <v>85.61</v>
      </c>
      <c r="S147" s="27">
        <v>85.61</v>
      </c>
      <c r="T147" s="74" t="s">
        <v>97</v>
      </c>
      <c r="U147" s="26">
        <v>75</v>
      </c>
      <c r="V147" s="26" t="s">
        <v>44</v>
      </c>
      <c r="W147" s="80">
        <v>53.463999999999999</v>
      </c>
      <c r="X147" s="26" t="s">
        <v>44</v>
      </c>
      <c r="Y147" s="26" t="s">
        <v>42</v>
      </c>
      <c r="Z147" s="27" t="s">
        <v>45</v>
      </c>
      <c r="AA147" s="27">
        <v>100</v>
      </c>
      <c r="AB147" s="27" t="s">
        <v>44</v>
      </c>
      <c r="AC147" s="27">
        <v>85.61</v>
      </c>
      <c r="AD147" s="84" t="s">
        <v>44</v>
      </c>
      <c r="AF147" s="81">
        <v>28.6</v>
      </c>
      <c r="AG147" s="85">
        <v>11.148990985734985</v>
      </c>
      <c r="AH147" s="86">
        <v>5</v>
      </c>
      <c r="AI147" s="87">
        <f t="shared" si="16"/>
        <v>1.6739545412858148</v>
      </c>
      <c r="AJ147" s="31">
        <f t="shared" si="17"/>
        <v>1.6739545412858148E-3</v>
      </c>
      <c r="AK147" s="41">
        <v>1.2655000000000001</v>
      </c>
      <c r="AL147" s="38">
        <v>0.12632388926881491</v>
      </c>
      <c r="AM147" s="41">
        <v>0.40845454128581471</v>
      </c>
      <c r="AN147" s="38">
        <v>2.2943231859478396E-2</v>
      </c>
      <c r="AO147" s="29">
        <v>6520</v>
      </c>
      <c r="AP147" s="88">
        <v>438.17804600413291</v>
      </c>
      <c r="AQ147" s="29">
        <v>3760</v>
      </c>
      <c r="AR147" s="88">
        <v>350.71355833500365</v>
      </c>
      <c r="AS147" s="29">
        <v>518</v>
      </c>
      <c r="AT147" s="85">
        <v>94.973680564670133</v>
      </c>
      <c r="AU147" s="81">
        <v>2560</v>
      </c>
      <c r="AV147" s="85">
        <v>260.76809620810593</v>
      </c>
      <c r="AW147" s="36">
        <v>9.7868490752346631</v>
      </c>
      <c r="AX147" s="37">
        <v>1.7011726256916857</v>
      </c>
      <c r="AY147" s="38">
        <v>8.2510600000000007</v>
      </c>
      <c r="AZ147" s="38">
        <v>1.5357890752346632</v>
      </c>
      <c r="BA147" s="38">
        <v>0.65552900000000003</v>
      </c>
      <c r="BB147" s="38">
        <v>1.0456436256916857</v>
      </c>
      <c r="BC147" s="39">
        <v>0.18613233635856036</v>
      </c>
      <c r="BD147" s="38">
        <v>1.5951142141563313</v>
      </c>
      <c r="BE147" s="37">
        <f t="shared" si="18"/>
        <v>0.32276139177069513</v>
      </c>
      <c r="BF147" s="82">
        <v>-10.654122205235634</v>
      </c>
      <c r="BG147" s="92">
        <v>3.689050298153254</v>
      </c>
      <c r="BH147" s="92">
        <v>-37.434925314467719</v>
      </c>
      <c r="BI147" s="53"/>
      <c r="BN147" s="81">
        <v>28400</v>
      </c>
      <c r="BO147" s="81">
        <v>31200</v>
      </c>
      <c r="BP147" s="81">
        <v>16140</v>
      </c>
      <c r="BQ147" s="81">
        <v>3320</v>
      </c>
      <c r="BR147" s="82">
        <v>12.860487747142415</v>
      </c>
      <c r="BS147" s="82">
        <v>20.499550676873223</v>
      </c>
      <c r="BT147" s="82">
        <v>66.511431594937974</v>
      </c>
      <c r="BU147" s="82">
        <v>70.490757897146437</v>
      </c>
      <c r="BV147" s="81">
        <v>6660</v>
      </c>
      <c r="BW147" s="81">
        <v>6700</v>
      </c>
    </row>
    <row r="148" spans="1:75" s="27" customFormat="1">
      <c r="A148" s="25" t="s">
        <v>219</v>
      </c>
      <c r="B148" s="80" t="s">
        <v>96</v>
      </c>
      <c r="C148" s="26" t="s">
        <v>35</v>
      </c>
      <c r="D148" s="26" t="s">
        <v>36</v>
      </c>
      <c r="E148" s="26">
        <v>63</v>
      </c>
      <c r="F148" s="28"/>
      <c r="G148" s="26"/>
      <c r="H148" s="26"/>
      <c r="I148" s="26"/>
      <c r="J148" s="56" t="s">
        <v>47</v>
      </c>
      <c r="K148" s="60">
        <v>6.4</v>
      </c>
      <c r="L148" s="27">
        <v>1.9</v>
      </c>
      <c r="M148" s="15" t="s">
        <v>283</v>
      </c>
      <c r="N148" s="91">
        <v>76.424000000000007</v>
      </c>
      <c r="O148" s="27">
        <v>12.79</v>
      </c>
      <c r="P148" s="27" t="s">
        <v>42</v>
      </c>
      <c r="Q148" s="27" t="s">
        <v>42</v>
      </c>
      <c r="R148" s="27">
        <v>85.61</v>
      </c>
      <c r="S148" s="27">
        <v>85.61</v>
      </c>
      <c r="T148" s="74" t="s">
        <v>97</v>
      </c>
      <c r="U148" s="26">
        <v>100</v>
      </c>
      <c r="V148" s="26" t="s">
        <v>44</v>
      </c>
      <c r="W148" s="80">
        <v>76.424000000000021</v>
      </c>
      <c r="X148" s="26" t="s">
        <v>44</v>
      </c>
      <c r="Y148" s="26" t="s">
        <v>42</v>
      </c>
      <c r="Z148" s="27" t="s">
        <v>45</v>
      </c>
      <c r="AA148" s="27">
        <v>100</v>
      </c>
      <c r="AB148" s="27" t="s">
        <v>44</v>
      </c>
      <c r="AC148" s="27">
        <v>85.61</v>
      </c>
      <c r="AD148" s="84" t="s">
        <v>44</v>
      </c>
      <c r="AF148" s="81">
        <v>14.8</v>
      </c>
      <c r="AG148" s="85">
        <v>3.1937438845342605</v>
      </c>
      <c r="AH148" s="86">
        <v>5</v>
      </c>
      <c r="AI148" s="87">
        <f t="shared" si="16"/>
        <v>1.9224315699117764</v>
      </c>
      <c r="AJ148" s="31">
        <f t="shared" si="17"/>
        <v>1.9224315699117765E-3</v>
      </c>
      <c r="AK148" s="41">
        <v>1.4176</v>
      </c>
      <c r="AL148" s="38">
        <v>9.4529413411909291E-2</v>
      </c>
      <c r="AM148" s="41">
        <v>0.50483156991177647</v>
      </c>
      <c r="AN148" s="38">
        <v>3.2882568932695137E-2</v>
      </c>
      <c r="AO148" s="29">
        <v>7480</v>
      </c>
      <c r="AP148" s="88">
        <v>563.02753041036988</v>
      </c>
      <c r="AQ148" s="29">
        <v>5000</v>
      </c>
      <c r="AR148" s="88">
        <v>632.45553203367592</v>
      </c>
      <c r="AS148" s="29">
        <v>440</v>
      </c>
      <c r="AT148" s="85">
        <v>57.879184513951124</v>
      </c>
      <c r="AU148" s="81">
        <v>2300</v>
      </c>
      <c r="AV148" s="85">
        <v>234.52078799117149</v>
      </c>
      <c r="AW148" s="36">
        <v>13.127805849558882</v>
      </c>
      <c r="AX148" s="37">
        <v>1.7848566107970858</v>
      </c>
      <c r="AY148" s="38">
        <v>10.603648</v>
      </c>
      <c r="AZ148" s="38">
        <v>2.5241578495588826</v>
      </c>
      <c r="BA148" s="38">
        <v>0.62374399999999997</v>
      </c>
      <c r="BB148" s="38">
        <v>1.1611126107970859</v>
      </c>
      <c r="BC148" s="39">
        <v>0.23804617519922225</v>
      </c>
      <c r="BD148" s="38">
        <v>1.861521090057918</v>
      </c>
      <c r="BE148" s="37">
        <f t="shared" si="18"/>
        <v>0.35611707809803644</v>
      </c>
      <c r="BF148" s="82">
        <v>-1.1929857759767208</v>
      </c>
      <c r="BG148" s="93">
        <v>5.3123844301265466</v>
      </c>
      <c r="BH148" s="93">
        <v>-27.168848091401099</v>
      </c>
      <c r="BI148" s="53"/>
      <c r="BN148" s="81">
        <v>24800</v>
      </c>
      <c r="BO148" s="81">
        <v>29200</v>
      </c>
      <c r="BP148" s="81">
        <v>18200</v>
      </c>
      <c r="BQ148" s="81">
        <v>3780</v>
      </c>
      <c r="BR148" s="82">
        <v>12.492694927088156</v>
      </c>
      <c r="BS148" s="82">
        <v>22.945366036793189</v>
      </c>
      <c r="BT148" s="82">
        <v>76.108000644478395</v>
      </c>
      <c r="BU148" s="82">
        <v>72.167792707066809</v>
      </c>
      <c r="BV148" s="81">
        <v>6920</v>
      </c>
      <c r="BW148" s="81">
        <v>7540</v>
      </c>
    </row>
    <row r="149" spans="1:75" s="27" customFormat="1">
      <c r="A149" s="25" t="s">
        <v>219</v>
      </c>
      <c r="B149" s="80" t="s">
        <v>96</v>
      </c>
      <c r="C149" s="26" t="s">
        <v>38</v>
      </c>
      <c r="D149" s="26" t="s">
        <v>36</v>
      </c>
      <c r="E149" s="26">
        <v>63</v>
      </c>
      <c r="F149" s="28"/>
      <c r="G149" s="26"/>
      <c r="H149" s="26"/>
      <c r="I149" s="26"/>
      <c r="J149" s="56" t="s">
        <v>47</v>
      </c>
      <c r="K149" s="60">
        <v>6.4</v>
      </c>
      <c r="L149" s="27">
        <v>1.9</v>
      </c>
      <c r="M149" s="15" t="s">
        <v>283</v>
      </c>
      <c r="N149" s="91">
        <v>3.7719999999999998</v>
      </c>
      <c r="O149" s="27">
        <v>12.79</v>
      </c>
      <c r="P149" s="27" t="s">
        <v>42</v>
      </c>
      <c r="Q149" s="27" t="s">
        <v>42</v>
      </c>
      <c r="R149" s="27">
        <v>0.13</v>
      </c>
      <c r="S149" s="27">
        <v>0.13</v>
      </c>
      <c r="T149" s="74" t="s">
        <v>97</v>
      </c>
      <c r="U149" s="26">
        <v>0</v>
      </c>
      <c r="V149" s="26" t="s">
        <v>44</v>
      </c>
      <c r="W149" s="80">
        <v>3.7719999999999998</v>
      </c>
      <c r="X149" s="26" t="s">
        <v>44</v>
      </c>
      <c r="Y149" s="26" t="s">
        <v>42</v>
      </c>
      <c r="Z149" s="27" t="s">
        <v>45</v>
      </c>
      <c r="AA149" s="27">
        <v>0</v>
      </c>
      <c r="AB149" s="27" t="s">
        <v>44</v>
      </c>
      <c r="AC149" s="27">
        <v>0.13</v>
      </c>
      <c r="AD149" s="84" t="s">
        <v>44</v>
      </c>
      <c r="AF149" s="81">
        <v>1.2</v>
      </c>
      <c r="AG149" s="85">
        <v>1.0954451150103321</v>
      </c>
      <c r="AH149" s="86">
        <v>5</v>
      </c>
      <c r="AI149" s="87">
        <f t="shared" si="16"/>
        <v>5.1039046129760277E-2</v>
      </c>
      <c r="AJ149" s="31">
        <f t="shared" si="17"/>
        <v>5.1039046129760273E-5</v>
      </c>
      <c r="AK149" s="41">
        <v>4.036E-2</v>
      </c>
      <c r="AL149" s="38">
        <v>8.1162183312180648E-3</v>
      </c>
      <c r="AM149" s="41">
        <v>1.0679046129760278E-2</v>
      </c>
      <c r="AN149" s="38">
        <v>2.2003317839364408E-3</v>
      </c>
      <c r="AO149" s="29">
        <v>584</v>
      </c>
      <c r="AP149" s="88">
        <v>56.391488719486738</v>
      </c>
      <c r="AQ149" s="29">
        <v>596</v>
      </c>
      <c r="AR149" s="88">
        <v>186.76188047886004</v>
      </c>
      <c r="AS149" s="29">
        <v>99.44827181579025</v>
      </c>
      <c r="AT149" s="85">
        <v>18.989305630817192</v>
      </c>
      <c r="AU149" s="81">
        <v>110.71323732305271</v>
      </c>
      <c r="AV149" s="85">
        <v>15.776908704961143</v>
      </c>
      <c r="AW149" s="36">
        <v>2.9934951493337126E-2</v>
      </c>
      <c r="AX149" s="37">
        <v>5.1960440190332718E-3</v>
      </c>
      <c r="AY149" s="38">
        <v>2.3570239999999999E-2</v>
      </c>
      <c r="AZ149" s="38">
        <v>6.3647114933371258E-3</v>
      </c>
      <c r="BA149" s="38">
        <v>4.0137322504852947E-3</v>
      </c>
      <c r="BB149" s="38">
        <v>1.1823117685479773E-3</v>
      </c>
      <c r="BC149" s="39">
        <v>0.27003167949656542</v>
      </c>
      <c r="BD149" s="38">
        <v>0.2945666762911317</v>
      </c>
      <c r="BE149" s="37">
        <f t="shared" si="18"/>
        <v>0.26459480004361441</v>
      </c>
      <c r="BF149" s="94"/>
      <c r="BI149" s="53"/>
      <c r="BN149" s="81">
        <v>9840</v>
      </c>
      <c r="BO149" s="81">
        <v>23600</v>
      </c>
      <c r="BP149" s="81">
        <v>26000</v>
      </c>
      <c r="BQ149" s="81">
        <v>4800</v>
      </c>
      <c r="BR149" s="82">
        <v>36.302157216318292</v>
      </c>
      <c r="BS149" s="82">
        <v>29.247753485193197</v>
      </c>
      <c r="BT149" s="29">
        <v>364</v>
      </c>
      <c r="BU149" s="82">
        <v>77.453899986701913</v>
      </c>
      <c r="BV149" s="81">
        <v>38000</v>
      </c>
      <c r="BW149" s="81">
        <v>7420</v>
      </c>
    </row>
    <row r="150" spans="1:75" s="27" customFormat="1">
      <c r="A150" s="25" t="s">
        <v>219</v>
      </c>
      <c r="B150" s="80" t="s">
        <v>96</v>
      </c>
      <c r="C150" s="26" t="s">
        <v>38</v>
      </c>
      <c r="D150" s="26" t="s">
        <v>36</v>
      </c>
      <c r="E150" s="26">
        <v>63</v>
      </c>
      <c r="F150" s="28"/>
      <c r="G150" s="26"/>
      <c r="H150" s="26"/>
      <c r="I150" s="26"/>
      <c r="J150" s="56" t="s">
        <v>47</v>
      </c>
      <c r="K150" s="60">
        <v>6.4</v>
      </c>
      <c r="L150" s="27">
        <v>1.9</v>
      </c>
      <c r="M150" s="15" t="s">
        <v>283</v>
      </c>
      <c r="N150" s="91">
        <v>19.898666670000001</v>
      </c>
      <c r="O150" s="27">
        <v>12.79</v>
      </c>
      <c r="P150" s="27" t="s">
        <v>42</v>
      </c>
      <c r="Q150" s="27" t="s">
        <v>42</v>
      </c>
      <c r="R150" s="27">
        <v>0.13</v>
      </c>
      <c r="S150" s="27">
        <v>0.13</v>
      </c>
      <c r="T150" s="74" t="s">
        <v>97</v>
      </c>
      <c r="U150" s="26">
        <v>25</v>
      </c>
      <c r="V150" s="26" t="s">
        <v>44</v>
      </c>
      <c r="W150" s="80">
        <v>19.898666666666667</v>
      </c>
      <c r="X150" s="26" t="s">
        <v>44</v>
      </c>
      <c r="Y150" s="26" t="s">
        <v>42</v>
      </c>
      <c r="Z150" s="27" t="s">
        <v>45</v>
      </c>
      <c r="AA150" s="27">
        <v>0</v>
      </c>
      <c r="AB150" s="27" t="s">
        <v>44</v>
      </c>
      <c r="AC150" s="27">
        <v>0.13</v>
      </c>
      <c r="AD150" s="84" t="s">
        <v>44</v>
      </c>
      <c r="AF150" s="81">
        <v>0</v>
      </c>
      <c r="AG150" s="85">
        <v>0</v>
      </c>
      <c r="AH150" s="86">
        <v>5</v>
      </c>
      <c r="AI150" s="87">
        <f t="shared" si="16"/>
        <v>2.1810953109892477</v>
      </c>
      <c r="AJ150" s="31">
        <f t="shared" si="17"/>
        <v>2.1810953109892479E-3</v>
      </c>
      <c r="AK150" s="41">
        <v>1.62764</v>
      </c>
      <c r="AL150" s="38">
        <v>0.13633790008651445</v>
      </c>
      <c r="AM150" s="41">
        <v>0.5534553109892475</v>
      </c>
      <c r="AN150" s="38">
        <v>6.1109231022604259E-2</v>
      </c>
      <c r="AO150" s="29">
        <v>2048</v>
      </c>
      <c r="AP150" s="88">
        <v>441.89365236445747</v>
      </c>
      <c r="AQ150" s="29">
        <v>1676</v>
      </c>
      <c r="AR150" s="88">
        <v>78.294316524253531</v>
      </c>
      <c r="AS150" s="29">
        <v>22.108477539558077</v>
      </c>
      <c r="AT150" s="85">
        <v>1.6947220412721931</v>
      </c>
      <c r="AU150" s="81">
        <v>28.553521320402769</v>
      </c>
      <c r="AV150" s="85">
        <v>7.9313727826497367</v>
      </c>
      <c r="AW150" s="36">
        <v>4.2609978212179787</v>
      </c>
      <c r="AX150" s="37">
        <v>5.1787740404707933E-2</v>
      </c>
      <c r="AY150" s="38">
        <v>3.3334067200000002</v>
      </c>
      <c r="AZ150" s="38">
        <v>0.92759110121797883</v>
      </c>
      <c r="BA150" s="38">
        <v>3.5984642382486311E-2</v>
      </c>
      <c r="BB150" s="38">
        <v>1.5803098022221622E-2</v>
      </c>
      <c r="BC150" s="39">
        <v>0.27827120394656757</v>
      </c>
      <c r="BD150" s="38">
        <v>0.43916229190908879</v>
      </c>
      <c r="BE150" s="37">
        <f t="shared" si="18"/>
        <v>0.34003545685117564</v>
      </c>
      <c r="BF150" s="94"/>
      <c r="BI150" s="53"/>
      <c r="BN150" s="81">
        <v>26600</v>
      </c>
      <c r="BO150" s="81">
        <v>31800</v>
      </c>
      <c r="BP150" s="81">
        <v>15280</v>
      </c>
      <c r="BQ150" s="81">
        <v>3280</v>
      </c>
      <c r="BR150" s="82">
        <v>7.3454229997900908</v>
      </c>
      <c r="BS150" s="82">
        <v>21.41782218640174</v>
      </c>
      <c r="BT150" s="29">
        <v>91.034033872322539</v>
      </c>
      <c r="BU150" s="82">
        <v>103.60522675861698</v>
      </c>
      <c r="BV150" s="81">
        <v>6300</v>
      </c>
      <c r="BW150" s="81">
        <v>6060</v>
      </c>
    </row>
    <row r="151" spans="1:75" s="27" customFormat="1">
      <c r="A151" s="25" t="s">
        <v>219</v>
      </c>
      <c r="B151" s="80" t="s">
        <v>96</v>
      </c>
      <c r="C151" s="26" t="s">
        <v>38</v>
      </c>
      <c r="D151" s="26" t="s">
        <v>36</v>
      </c>
      <c r="E151" s="26">
        <v>63</v>
      </c>
      <c r="F151" s="28"/>
      <c r="G151" s="26"/>
      <c r="H151" s="26"/>
      <c r="I151" s="26"/>
      <c r="J151" s="56" t="s">
        <v>47</v>
      </c>
      <c r="K151" s="60">
        <v>6.4</v>
      </c>
      <c r="L151" s="27">
        <v>1.9</v>
      </c>
      <c r="M151" s="15" t="s">
        <v>283</v>
      </c>
      <c r="N151" s="91">
        <v>38.485333330000003</v>
      </c>
      <c r="O151" s="27">
        <v>12.79</v>
      </c>
      <c r="P151" s="27" t="s">
        <v>42</v>
      </c>
      <c r="Q151" s="27" t="s">
        <v>42</v>
      </c>
      <c r="R151" s="27">
        <v>0.13</v>
      </c>
      <c r="S151" s="27">
        <v>0.13</v>
      </c>
      <c r="T151" s="74" t="s">
        <v>97</v>
      </c>
      <c r="U151" s="26">
        <v>50</v>
      </c>
      <c r="V151" s="26" t="s">
        <v>44</v>
      </c>
      <c r="W151" s="80">
        <v>38.485333333333337</v>
      </c>
      <c r="X151" s="26" t="s">
        <v>44</v>
      </c>
      <c r="Y151" s="26" t="s">
        <v>42</v>
      </c>
      <c r="Z151" s="27" t="s">
        <v>45</v>
      </c>
      <c r="AA151" s="27">
        <v>0</v>
      </c>
      <c r="AB151" s="27" t="s">
        <v>44</v>
      </c>
      <c r="AC151" s="27">
        <v>0.13</v>
      </c>
      <c r="AD151" s="84" t="s">
        <v>44</v>
      </c>
      <c r="AF151" s="81">
        <v>0.2</v>
      </c>
      <c r="AG151" s="85">
        <v>0.44721359549995793</v>
      </c>
      <c r="AH151" s="86">
        <v>5</v>
      </c>
      <c r="AI151" s="87">
        <f t="shared" si="16"/>
        <v>2.1154375774054182</v>
      </c>
      <c r="AJ151" s="31">
        <f t="shared" si="17"/>
        <v>2.1154375774054181E-3</v>
      </c>
      <c r="AK151" s="41">
        <v>1.6027400000000001</v>
      </c>
      <c r="AL151" s="38">
        <v>7.7055194503675664E-2</v>
      </c>
      <c r="AM151" s="41">
        <v>0.5126975774054181</v>
      </c>
      <c r="AN151" s="38">
        <v>6.0069217968959629E-2</v>
      </c>
      <c r="AO151" s="29">
        <v>3980</v>
      </c>
      <c r="AP151" s="88">
        <v>248.99799195977465</v>
      </c>
      <c r="AQ151" s="29">
        <v>3160</v>
      </c>
      <c r="AR151" s="88">
        <v>296.64793948382652</v>
      </c>
      <c r="AS151" s="29">
        <v>24.030199404987862</v>
      </c>
      <c r="AT151" s="85">
        <v>3.7682191347663263</v>
      </c>
      <c r="AU151" s="81">
        <v>37.40212262595891</v>
      </c>
      <c r="AV151" s="85">
        <v>18.529132864184934</v>
      </c>
      <c r="AW151" s="36">
        <v>7.9990295446011217</v>
      </c>
      <c r="AX151" s="37">
        <v>5.7690139454499752E-2</v>
      </c>
      <c r="AY151" s="38">
        <v>6.3789052000000002</v>
      </c>
      <c r="AZ151" s="38">
        <v>1.6201243446011211</v>
      </c>
      <c r="BA151" s="38">
        <v>3.8514161794350243E-2</v>
      </c>
      <c r="BB151" s="38">
        <v>1.9175977660149508E-2</v>
      </c>
      <c r="BC151" s="39">
        <v>0.25398156796578841</v>
      </c>
      <c r="BD151" s="38">
        <v>0.49789419701099374</v>
      </c>
      <c r="BE151" s="37">
        <f t="shared" si="18"/>
        <v>0.31988817737463227</v>
      </c>
      <c r="BF151" s="94"/>
      <c r="BI151" s="53"/>
      <c r="BN151" s="81">
        <v>22800</v>
      </c>
      <c r="BO151" s="81">
        <v>32400</v>
      </c>
      <c r="BP151" s="81">
        <v>16140</v>
      </c>
      <c r="BQ151" s="81">
        <v>3620</v>
      </c>
      <c r="BR151" s="82">
        <v>6.8841059607283084</v>
      </c>
      <c r="BS151" s="82">
        <v>22.317353463255518</v>
      </c>
      <c r="BT151" s="29">
        <v>72.196113342512234</v>
      </c>
      <c r="BU151" s="82">
        <v>72.72734107094243</v>
      </c>
      <c r="BV151" s="81">
        <v>6120</v>
      </c>
      <c r="BW151" s="81">
        <v>5760</v>
      </c>
    </row>
    <row r="152" spans="1:75" s="27" customFormat="1">
      <c r="A152" s="25" t="s">
        <v>219</v>
      </c>
      <c r="B152" s="80" t="s">
        <v>96</v>
      </c>
      <c r="C152" s="26" t="s">
        <v>38</v>
      </c>
      <c r="D152" s="26" t="s">
        <v>36</v>
      </c>
      <c r="E152" s="26">
        <v>63</v>
      </c>
      <c r="F152" s="28"/>
      <c r="G152" s="26"/>
      <c r="H152" s="26"/>
      <c r="I152" s="26"/>
      <c r="J152" s="56" t="s">
        <v>47</v>
      </c>
      <c r="K152" s="60">
        <v>6.4</v>
      </c>
      <c r="L152" s="27">
        <v>1.9</v>
      </c>
      <c r="M152" s="15" t="s">
        <v>283</v>
      </c>
      <c r="N152" s="91">
        <v>53.463999999999999</v>
      </c>
      <c r="O152" s="27">
        <v>12.79</v>
      </c>
      <c r="P152" s="27" t="s">
        <v>42</v>
      </c>
      <c r="Q152" s="27" t="s">
        <v>42</v>
      </c>
      <c r="R152" s="27">
        <v>0.13</v>
      </c>
      <c r="S152" s="27">
        <v>0.13</v>
      </c>
      <c r="T152" s="74" t="s">
        <v>97</v>
      </c>
      <c r="U152" s="26">
        <v>75</v>
      </c>
      <c r="V152" s="26" t="s">
        <v>44</v>
      </c>
      <c r="W152" s="80">
        <v>53.463999999999999</v>
      </c>
      <c r="X152" s="26" t="s">
        <v>44</v>
      </c>
      <c r="Y152" s="26" t="s">
        <v>42</v>
      </c>
      <c r="Z152" s="27" t="s">
        <v>45</v>
      </c>
      <c r="AA152" s="27">
        <v>0</v>
      </c>
      <c r="AB152" s="27" t="s">
        <v>44</v>
      </c>
      <c r="AC152" s="27">
        <v>0.13</v>
      </c>
      <c r="AD152" s="84" t="s">
        <v>44</v>
      </c>
      <c r="AF152" s="81">
        <v>0.4</v>
      </c>
      <c r="AG152" s="85">
        <v>0.54772255750516607</v>
      </c>
      <c r="AH152" s="86">
        <v>5</v>
      </c>
      <c r="AI152" s="87">
        <f t="shared" si="16"/>
        <v>2.0688267505818403</v>
      </c>
      <c r="AJ152" s="31">
        <f t="shared" si="17"/>
        <v>2.0688267505818403E-3</v>
      </c>
      <c r="AK152" s="41">
        <v>1.5491999999999999</v>
      </c>
      <c r="AL152" s="38">
        <v>8.5990464587656718E-2</v>
      </c>
      <c r="AM152" s="41">
        <v>0.51962675058184049</v>
      </c>
      <c r="AN152" s="38">
        <v>5.6377952496944175E-2</v>
      </c>
      <c r="AO152" s="29">
        <v>4880</v>
      </c>
      <c r="AP152" s="88">
        <v>311.44823004794875</v>
      </c>
      <c r="AQ152" s="29">
        <v>5100</v>
      </c>
      <c r="AR152" s="88">
        <v>982.34413521942497</v>
      </c>
      <c r="AS152" s="29">
        <v>21.687113624521082</v>
      </c>
      <c r="AT152" s="85">
        <v>3.4607964569981364</v>
      </c>
      <c r="AU152" s="81">
        <v>32.170260754206602</v>
      </c>
      <c r="AV152" s="85">
        <v>8.5189783436977073</v>
      </c>
      <c r="AW152" s="36">
        <v>10.210192427967387</v>
      </c>
      <c r="AX152" s="37">
        <v>5.0314204488186944E-2</v>
      </c>
      <c r="AY152" s="38">
        <v>7.5600959999999997</v>
      </c>
      <c r="AZ152" s="38">
        <v>2.6500964279673869</v>
      </c>
      <c r="BA152" s="38">
        <v>3.3597676427108057E-2</v>
      </c>
      <c r="BB152" s="38">
        <v>1.6716528061078886E-2</v>
      </c>
      <c r="BC152" s="39">
        <v>0.35053740428261587</v>
      </c>
      <c r="BD152" s="38">
        <v>0.49755012366245865</v>
      </c>
      <c r="BE152" s="37">
        <f t="shared" si="18"/>
        <v>0.33541618292140496</v>
      </c>
      <c r="BF152" s="94"/>
      <c r="BI152" s="53"/>
      <c r="BN152" s="81">
        <v>23000</v>
      </c>
      <c r="BO152" s="81">
        <v>30800</v>
      </c>
      <c r="BP152" s="81">
        <v>17200</v>
      </c>
      <c r="BQ152" s="81">
        <v>3520</v>
      </c>
      <c r="BR152" s="82">
        <v>6.9527163744958687</v>
      </c>
      <c r="BS152" s="82">
        <v>26.193187664779039</v>
      </c>
      <c r="BT152" s="29">
        <v>71.990773197354784</v>
      </c>
      <c r="BU152" s="82">
        <v>92.881947392583214</v>
      </c>
      <c r="BV152" s="81">
        <v>6220</v>
      </c>
      <c r="BW152" s="81">
        <v>6020</v>
      </c>
    </row>
    <row r="153" spans="1:75" s="27" customFormat="1">
      <c r="A153" s="25" t="s">
        <v>219</v>
      </c>
      <c r="B153" s="80" t="s">
        <v>96</v>
      </c>
      <c r="C153" s="26" t="s">
        <v>38</v>
      </c>
      <c r="D153" s="26" t="s">
        <v>36</v>
      </c>
      <c r="E153" s="26">
        <v>63</v>
      </c>
      <c r="F153" s="28"/>
      <c r="G153" s="26"/>
      <c r="H153" s="26"/>
      <c r="I153" s="26"/>
      <c r="J153" s="56" t="s">
        <v>47</v>
      </c>
      <c r="K153" s="60">
        <v>6.4</v>
      </c>
      <c r="L153" s="27">
        <v>1.9</v>
      </c>
      <c r="M153" s="15" t="s">
        <v>283</v>
      </c>
      <c r="N153" s="91">
        <v>76.424000000000007</v>
      </c>
      <c r="O153" s="27">
        <v>12.79</v>
      </c>
      <c r="P153" s="27" t="s">
        <v>42</v>
      </c>
      <c r="Q153" s="27" t="s">
        <v>42</v>
      </c>
      <c r="R153" s="27">
        <v>0.13</v>
      </c>
      <c r="S153" s="27">
        <v>0.13</v>
      </c>
      <c r="T153" s="74" t="s">
        <v>97</v>
      </c>
      <c r="U153" s="26">
        <v>100</v>
      </c>
      <c r="V153" s="26" t="s">
        <v>44</v>
      </c>
      <c r="W153" s="80">
        <v>76.424000000000021</v>
      </c>
      <c r="X153" s="26" t="s">
        <v>44</v>
      </c>
      <c r="Y153" s="26" t="s">
        <v>42</v>
      </c>
      <c r="Z153" s="27" t="s">
        <v>45</v>
      </c>
      <c r="AA153" s="27">
        <v>0</v>
      </c>
      <c r="AB153" s="27" t="s">
        <v>44</v>
      </c>
      <c r="AC153" s="27">
        <v>0.13</v>
      </c>
      <c r="AD153" s="84" t="s">
        <v>44</v>
      </c>
      <c r="AF153" s="81">
        <v>0</v>
      </c>
      <c r="AG153" s="85">
        <v>0</v>
      </c>
      <c r="AH153" s="86">
        <v>5</v>
      </c>
      <c r="AI153" s="87">
        <f t="shared" si="16"/>
        <v>2.1793432569608076</v>
      </c>
      <c r="AJ153" s="31">
        <f t="shared" si="17"/>
        <v>2.1793432569608075E-3</v>
      </c>
      <c r="AK153" s="41">
        <v>1.6392</v>
      </c>
      <c r="AL153" s="38">
        <v>0.14668454247125223</v>
      </c>
      <c r="AM153" s="41">
        <v>0.54014325696080734</v>
      </c>
      <c r="AN153" s="38">
        <v>5.5601885397797389E-2</v>
      </c>
      <c r="AO153" s="29">
        <v>5140</v>
      </c>
      <c r="AP153" s="88">
        <v>343.51128074635335</v>
      </c>
      <c r="AQ153" s="29">
        <v>6760</v>
      </c>
      <c r="AR153" s="88">
        <v>634.82280992415508</v>
      </c>
      <c r="AS153" s="29">
        <v>17.671254874266527</v>
      </c>
      <c r="AT153" s="85">
        <v>1.7635172290589713</v>
      </c>
      <c r="AU153" s="81">
        <v>32.16021451446786</v>
      </c>
      <c r="AV153" s="85">
        <v>9.8541820620870091</v>
      </c>
      <c r="AW153" s="36">
        <v>12.076856417055057</v>
      </c>
      <c r="AX153" s="37">
        <v>4.6337844002300593E-2</v>
      </c>
      <c r="AY153" s="38">
        <v>8.4254879999999996</v>
      </c>
      <c r="AZ153" s="38">
        <v>3.6513684170550573</v>
      </c>
      <c r="BA153" s="38">
        <v>2.8966720989897689E-2</v>
      </c>
      <c r="BB153" s="38">
        <v>1.73711230124029E-2</v>
      </c>
      <c r="BC153" s="39">
        <v>0.43337174262844569</v>
      </c>
      <c r="BD153" s="38">
        <v>0.59969242008652546</v>
      </c>
      <c r="BE153" s="37">
        <f t="shared" si="18"/>
        <v>0.32951638418790102</v>
      </c>
      <c r="BF153" s="94"/>
      <c r="BI153" s="53"/>
      <c r="BN153" s="81">
        <v>25320</v>
      </c>
      <c r="BO153" s="81">
        <v>29600</v>
      </c>
      <c r="BP153" s="81">
        <v>17740</v>
      </c>
      <c r="BQ153" s="81">
        <v>3760</v>
      </c>
      <c r="BR153" s="82">
        <v>5.6309398108618405</v>
      </c>
      <c r="BS153" s="82">
        <v>31.706794271811425</v>
      </c>
      <c r="BT153" s="29">
        <v>67.357238188390369</v>
      </c>
      <c r="BU153" s="82">
        <v>75.106399245184619</v>
      </c>
      <c r="BV153" s="81">
        <v>5980</v>
      </c>
      <c r="BW153" s="81">
        <v>7340</v>
      </c>
    </row>
    <row r="154" spans="1:75" s="27" customFormat="1">
      <c r="A154" s="25" t="s">
        <v>219</v>
      </c>
      <c r="B154" s="80" t="s">
        <v>96</v>
      </c>
      <c r="C154" s="26" t="s">
        <v>38</v>
      </c>
      <c r="D154" s="26" t="s">
        <v>36</v>
      </c>
      <c r="E154" s="26">
        <v>63</v>
      </c>
      <c r="F154" s="28"/>
      <c r="G154" s="26"/>
      <c r="H154" s="26"/>
      <c r="I154" s="26"/>
      <c r="J154" s="56" t="s">
        <v>47</v>
      </c>
      <c r="K154" s="60">
        <v>6.4</v>
      </c>
      <c r="L154" s="27">
        <v>1.9</v>
      </c>
      <c r="M154" s="15" t="s">
        <v>283</v>
      </c>
      <c r="N154" s="91">
        <v>3.7719999999999998</v>
      </c>
      <c r="O154" s="27">
        <v>12.79</v>
      </c>
      <c r="P154" s="27" t="s">
        <v>42</v>
      </c>
      <c r="Q154" s="27" t="s">
        <v>42</v>
      </c>
      <c r="R154" s="27">
        <v>85.61</v>
      </c>
      <c r="S154" s="27">
        <v>85.61</v>
      </c>
      <c r="T154" s="74" t="s">
        <v>97</v>
      </c>
      <c r="U154" s="26">
        <v>0</v>
      </c>
      <c r="V154" s="26" t="s">
        <v>44</v>
      </c>
      <c r="W154" s="80">
        <v>3.7719999999999998</v>
      </c>
      <c r="X154" s="26" t="s">
        <v>44</v>
      </c>
      <c r="Y154" s="26" t="s">
        <v>42</v>
      </c>
      <c r="Z154" s="27" t="s">
        <v>45</v>
      </c>
      <c r="AA154" s="27">
        <v>100</v>
      </c>
      <c r="AB154" s="27" t="s">
        <v>44</v>
      </c>
      <c r="AC154" s="27">
        <v>85.61</v>
      </c>
      <c r="AD154" s="84" t="s">
        <v>44</v>
      </c>
      <c r="AF154" s="81">
        <v>1</v>
      </c>
      <c r="AG154" s="85">
        <v>1.4142135623730951</v>
      </c>
      <c r="AH154" s="86">
        <v>5</v>
      </c>
      <c r="AI154" s="87">
        <f t="shared" si="16"/>
        <v>3.9329094369844469E-2</v>
      </c>
      <c r="AJ154" s="31">
        <f t="shared" si="17"/>
        <v>3.9329094369844468E-5</v>
      </c>
      <c r="AK154" s="41">
        <v>2.504E-2</v>
      </c>
      <c r="AL154" s="38">
        <v>8.8844245733755815E-3</v>
      </c>
      <c r="AM154" s="41">
        <v>1.4289094369844471E-2</v>
      </c>
      <c r="AN154" s="38">
        <v>5.6659265834846156E-3</v>
      </c>
      <c r="AO154" s="29">
        <v>504</v>
      </c>
      <c r="AP154" s="88">
        <v>50.299105359837164</v>
      </c>
      <c r="AQ154" s="29">
        <v>798</v>
      </c>
      <c r="AR154" s="88">
        <v>133.30416347586447</v>
      </c>
      <c r="AS154" s="29">
        <v>1710</v>
      </c>
      <c r="AT154" s="85">
        <v>229.67368155711702</v>
      </c>
      <c r="AU154" s="81">
        <v>5060</v>
      </c>
      <c r="AV154" s="85">
        <v>328.63353450309967</v>
      </c>
      <c r="AW154" s="36">
        <v>2.4022857307135888E-2</v>
      </c>
      <c r="AX154" s="37">
        <v>0.11512121751141302</v>
      </c>
      <c r="AY154" s="38">
        <v>1.262016E-2</v>
      </c>
      <c r="AZ154" s="38">
        <v>1.1402697307135888E-2</v>
      </c>
      <c r="BA154" s="38">
        <v>4.28184E-2</v>
      </c>
      <c r="BB154" s="38">
        <v>7.2302817511413028E-2</v>
      </c>
      <c r="BC154" s="39">
        <v>0.90353032823164581</v>
      </c>
      <c r="BD154" s="38">
        <v>1.6885922293082654</v>
      </c>
      <c r="BE154" s="37">
        <f t="shared" si="18"/>
        <v>0.57065073361998686</v>
      </c>
      <c r="BF154" s="94"/>
      <c r="BI154" s="53"/>
      <c r="BN154" s="81">
        <v>13020</v>
      </c>
      <c r="BO154" s="81">
        <v>23400</v>
      </c>
      <c r="BP154" s="81">
        <v>25800</v>
      </c>
      <c r="BQ154" s="81">
        <v>3520</v>
      </c>
      <c r="BR154" s="29">
        <v>35.090883369157005</v>
      </c>
      <c r="BS154" s="82">
        <v>31.966178320599887</v>
      </c>
      <c r="BT154" s="29">
        <v>368</v>
      </c>
      <c r="BU154" s="82">
        <v>120.35228136361066</v>
      </c>
      <c r="BV154" s="81">
        <v>33000</v>
      </c>
      <c r="BW154" s="81">
        <v>5600</v>
      </c>
    </row>
    <row r="155" spans="1:75" s="27" customFormat="1">
      <c r="A155" s="25" t="s">
        <v>219</v>
      </c>
      <c r="B155" s="80" t="s">
        <v>96</v>
      </c>
      <c r="C155" s="26" t="s">
        <v>38</v>
      </c>
      <c r="D155" s="26" t="s">
        <v>36</v>
      </c>
      <c r="E155" s="26">
        <v>63</v>
      </c>
      <c r="F155" s="28"/>
      <c r="G155" s="26"/>
      <c r="H155" s="26"/>
      <c r="I155" s="26"/>
      <c r="J155" s="56" t="s">
        <v>47</v>
      </c>
      <c r="K155" s="60">
        <v>6.4</v>
      </c>
      <c r="L155" s="27">
        <v>1.9</v>
      </c>
      <c r="M155" s="15" t="s">
        <v>283</v>
      </c>
      <c r="N155" s="91">
        <v>19.898666670000001</v>
      </c>
      <c r="O155" s="27">
        <v>12.79</v>
      </c>
      <c r="P155" s="27" t="s">
        <v>42</v>
      </c>
      <c r="Q155" s="27" t="s">
        <v>42</v>
      </c>
      <c r="R155" s="27">
        <v>85.61</v>
      </c>
      <c r="S155" s="27">
        <v>85.61</v>
      </c>
      <c r="T155" s="74" t="s">
        <v>97</v>
      </c>
      <c r="U155" s="26">
        <v>25</v>
      </c>
      <c r="V155" s="26" t="s">
        <v>44</v>
      </c>
      <c r="W155" s="80">
        <v>19.898666666666667</v>
      </c>
      <c r="X155" s="26" t="s">
        <v>44</v>
      </c>
      <c r="Y155" s="26" t="s">
        <v>42</v>
      </c>
      <c r="Z155" s="27" t="s">
        <v>45</v>
      </c>
      <c r="AA155" s="27">
        <v>100</v>
      </c>
      <c r="AB155" s="27" t="s">
        <v>44</v>
      </c>
      <c r="AC155" s="27">
        <v>85.61</v>
      </c>
      <c r="AD155" s="84" t="s">
        <v>44</v>
      </c>
      <c r="AF155" s="81">
        <v>0.4</v>
      </c>
      <c r="AG155" s="85">
        <v>0.54772255750516607</v>
      </c>
      <c r="AH155" s="86">
        <v>5</v>
      </c>
      <c r="AI155" s="87">
        <f t="shared" si="16"/>
        <v>1.8488633870076432</v>
      </c>
      <c r="AJ155" s="31">
        <f t="shared" si="17"/>
        <v>1.8488633870076432E-3</v>
      </c>
      <c r="AK155" s="41">
        <v>1.1896999999999998</v>
      </c>
      <c r="AL155" s="38">
        <v>0.10070757171136969</v>
      </c>
      <c r="AM155" s="41">
        <v>0.65916338700764343</v>
      </c>
      <c r="AN155" s="38">
        <v>2.5092267254106446E-2</v>
      </c>
      <c r="AO155" s="29">
        <v>1656</v>
      </c>
      <c r="AP155" s="88">
        <v>153.23185047502363</v>
      </c>
      <c r="AQ155" s="29">
        <v>1500</v>
      </c>
      <c r="AR155" s="88">
        <v>120.20815280171308</v>
      </c>
      <c r="AS155" s="29">
        <v>684</v>
      </c>
      <c r="AT155" s="85">
        <v>101.39033484509261</v>
      </c>
      <c r="AU155" s="81">
        <v>2720</v>
      </c>
      <c r="AV155" s="85">
        <v>334.66401061363024</v>
      </c>
      <c r="AW155" s="36">
        <v>2.9588882805114647</v>
      </c>
      <c r="AX155" s="37">
        <v>2.6066792126607901</v>
      </c>
      <c r="AY155" s="38">
        <v>1.9701431999999994</v>
      </c>
      <c r="AZ155" s="38">
        <v>0.98874508051146515</v>
      </c>
      <c r="BA155" s="38">
        <v>0.81375479999999978</v>
      </c>
      <c r="BB155" s="38">
        <v>1.7929244126607902</v>
      </c>
      <c r="BC155" s="39">
        <v>0.50186457538287843</v>
      </c>
      <c r="BD155" s="38">
        <v>2.2032735323475703</v>
      </c>
      <c r="BE155" s="37">
        <f t="shared" si="18"/>
        <v>0.55405849122269779</v>
      </c>
      <c r="BF155" s="94"/>
      <c r="BI155" s="53"/>
      <c r="BN155" s="81">
        <v>31800</v>
      </c>
      <c r="BO155" s="81">
        <v>25400</v>
      </c>
      <c r="BP155" s="81">
        <v>14940</v>
      </c>
      <c r="BQ155" s="81">
        <v>3240</v>
      </c>
      <c r="BR155" s="29">
        <v>12.314026303633593</v>
      </c>
      <c r="BS155" s="82">
        <v>22.798418991580977</v>
      </c>
      <c r="BT155" s="29">
        <v>106.52173260497807</v>
      </c>
      <c r="BU155" s="82">
        <v>145.50658639272555</v>
      </c>
      <c r="BV155" s="81">
        <v>6220</v>
      </c>
      <c r="BW155" s="81">
        <v>6960</v>
      </c>
    </row>
    <row r="156" spans="1:75" s="27" customFormat="1">
      <c r="A156" s="25" t="s">
        <v>219</v>
      </c>
      <c r="B156" s="80" t="s">
        <v>96</v>
      </c>
      <c r="C156" s="26" t="s">
        <v>38</v>
      </c>
      <c r="D156" s="26" t="s">
        <v>36</v>
      </c>
      <c r="E156" s="26">
        <v>63</v>
      </c>
      <c r="F156" s="28"/>
      <c r="G156" s="26"/>
      <c r="H156" s="26"/>
      <c r="I156" s="26"/>
      <c r="J156" s="56" t="s">
        <v>47</v>
      </c>
      <c r="K156" s="60">
        <v>6.4</v>
      </c>
      <c r="L156" s="27">
        <v>1.9</v>
      </c>
      <c r="M156" s="15" t="s">
        <v>283</v>
      </c>
      <c r="N156" s="91">
        <v>38.485333330000003</v>
      </c>
      <c r="O156" s="27">
        <v>12.79</v>
      </c>
      <c r="P156" s="27" t="s">
        <v>42</v>
      </c>
      <c r="Q156" s="27" t="s">
        <v>42</v>
      </c>
      <c r="R156" s="27">
        <v>85.61</v>
      </c>
      <c r="S156" s="27">
        <v>85.61</v>
      </c>
      <c r="T156" s="74" t="s">
        <v>97</v>
      </c>
      <c r="U156" s="26">
        <v>50</v>
      </c>
      <c r="V156" s="26" t="s">
        <v>44</v>
      </c>
      <c r="W156" s="80">
        <v>38.485333333333337</v>
      </c>
      <c r="X156" s="26" t="s">
        <v>44</v>
      </c>
      <c r="Y156" s="26" t="s">
        <v>42</v>
      </c>
      <c r="Z156" s="27" t="s">
        <v>45</v>
      </c>
      <c r="AA156" s="27">
        <v>100</v>
      </c>
      <c r="AB156" s="27" t="s">
        <v>44</v>
      </c>
      <c r="AC156" s="27">
        <v>85.61</v>
      </c>
      <c r="AD156" s="84" t="s">
        <v>44</v>
      </c>
      <c r="AF156" s="81">
        <v>0.2</v>
      </c>
      <c r="AG156" s="85">
        <v>0.44721359549995793</v>
      </c>
      <c r="AH156" s="86">
        <v>5</v>
      </c>
      <c r="AI156" s="87">
        <f t="shared" si="16"/>
        <v>1.6533687243151227</v>
      </c>
      <c r="AJ156" s="31">
        <f t="shared" si="17"/>
        <v>1.6533687243151227E-3</v>
      </c>
      <c r="AK156" s="41">
        <v>1.05332</v>
      </c>
      <c r="AL156" s="38">
        <v>0.12874661937309084</v>
      </c>
      <c r="AM156" s="41">
        <v>0.60004872431512268</v>
      </c>
      <c r="AN156" s="41">
        <v>0.1322729005790306</v>
      </c>
      <c r="AO156" s="29">
        <v>4200</v>
      </c>
      <c r="AP156" s="29">
        <v>524.40442408507579</v>
      </c>
      <c r="AQ156" s="29">
        <v>2660</v>
      </c>
      <c r="AR156" s="29">
        <v>114.0175425099138</v>
      </c>
      <c r="AS156" s="29">
        <v>658</v>
      </c>
      <c r="AT156" s="85">
        <v>102.07840124139877</v>
      </c>
      <c r="AU156" s="81">
        <v>2614</v>
      </c>
      <c r="AV156" s="85">
        <v>491.40614566771546</v>
      </c>
      <c r="AW156" s="36">
        <v>6.0200736066782259</v>
      </c>
      <c r="AX156" s="37">
        <v>2.2616119253597304</v>
      </c>
      <c r="AY156" s="38">
        <v>4.4239439999999997</v>
      </c>
      <c r="AZ156" s="38">
        <v>1.5961296066782265</v>
      </c>
      <c r="BA156" s="38">
        <v>0.69308455999999996</v>
      </c>
      <c r="BB156" s="38">
        <v>1.5685273653597307</v>
      </c>
      <c r="BC156" s="39">
        <v>0.36079335694082626</v>
      </c>
      <c r="BD156" s="38">
        <v>2.2631111063269551</v>
      </c>
      <c r="BE156" s="37">
        <f t="shared" si="18"/>
        <v>0.56967372148551498</v>
      </c>
      <c r="BF156" s="94"/>
      <c r="BI156" s="53"/>
      <c r="BN156" s="81">
        <v>30000</v>
      </c>
      <c r="BO156" s="81">
        <v>28200</v>
      </c>
      <c r="BP156" s="81">
        <v>15420</v>
      </c>
      <c r="BQ156" s="81">
        <v>3380</v>
      </c>
      <c r="BR156" s="29">
        <v>11.065519094232389</v>
      </c>
      <c r="BS156" s="82">
        <v>24.136077118044657</v>
      </c>
      <c r="BT156" s="29">
        <v>76.702512541093682</v>
      </c>
      <c r="BU156" s="82">
        <v>152.24001924019186</v>
      </c>
      <c r="BV156" s="81">
        <v>6080</v>
      </c>
      <c r="BW156" s="81">
        <v>6280</v>
      </c>
    </row>
    <row r="157" spans="1:75" s="27" customFormat="1">
      <c r="A157" s="25" t="s">
        <v>219</v>
      </c>
      <c r="B157" s="80" t="s">
        <v>96</v>
      </c>
      <c r="C157" s="26" t="s">
        <v>38</v>
      </c>
      <c r="D157" s="26" t="s">
        <v>36</v>
      </c>
      <c r="E157" s="26">
        <v>63</v>
      </c>
      <c r="F157" s="28"/>
      <c r="G157" s="26"/>
      <c r="H157" s="26"/>
      <c r="I157" s="26"/>
      <c r="J157" s="56" t="s">
        <v>47</v>
      </c>
      <c r="K157" s="60">
        <v>6.4</v>
      </c>
      <c r="L157" s="27">
        <v>1.9</v>
      </c>
      <c r="M157" s="15" t="s">
        <v>283</v>
      </c>
      <c r="N157" s="91">
        <v>53.463999999999999</v>
      </c>
      <c r="O157" s="27">
        <v>12.79</v>
      </c>
      <c r="P157" s="27" t="s">
        <v>42</v>
      </c>
      <c r="Q157" s="27" t="s">
        <v>42</v>
      </c>
      <c r="R157" s="27">
        <v>85.61</v>
      </c>
      <c r="S157" s="27">
        <v>85.61</v>
      </c>
      <c r="T157" s="74" t="s">
        <v>97</v>
      </c>
      <c r="U157" s="26">
        <v>75</v>
      </c>
      <c r="V157" s="26" t="s">
        <v>44</v>
      </c>
      <c r="W157" s="80">
        <v>53.463999999999999</v>
      </c>
      <c r="X157" s="26" t="s">
        <v>44</v>
      </c>
      <c r="Y157" s="26" t="s">
        <v>42</v>
      </c>
      <c r="Z157" s="27" t="s">
        <v>45</v>
      </c>
      <c r="AA157" s="27">
        <v>100</v>
      </c>
      <c r="AB157" s="27" t="s">
        <v>44</v>
      </c>
      <c r="AC157" s="27">
        <v>85.61</v>
      </c>
      <c r="AD157" s="84" t="s">
        <v>44</v>
      </c>
      <c r="AF157" s="81">
        <v>1.6</v>
      </c>
      <c r="AG157" s="81">
        <v>1.1401754250991378</v>
      </c>
      <c r="AH157" s="89">
        <v>5</v>
      </c>
      <c r="AI157" s="95">
        <f t="shared" si="16"/>
        <v>1.8735666184074447</v>
      </c>
      <c r="AJ157" s="31">
        <f t="shared" si="17"/>
        <v>1.8735666184074447E-3</v>
      </c>
      <c r="AK157" s="41">
        <v>1.2487600000000001</v>
      </c>
      <c r="AL157" s="41">
        <v>0.13583634638785022</v>
      </c>
      <c r="AM157" s="41">
        <v>0.62480661840744456</v>
      </c>
      <c r="AN157" s="41">
        <v>5.175741137637601E-2</v>
      </c>
      <c r="AO157" s="29">
        <v>5320</v>
      </c>
      <c r="AP157" s="29">
        <v>268.32815729997475</v>
      </c>
      <c r="AQ157" s="29">
        <v>4460</v>
      </c>
      <c r="AR157" s="29">
        <v>642.6507605223851</v>
      </c>
      <c r="AS157" s="29">
        <v>652</v>
      </c>
      <c r="AT157" s="85">
        <v>58.480766068853782</v>
      </c>
      <c r="AU157" s="81">
        <v>3040</v>
      </c>
      <c r="AV157" s="85">
        <v>391.1521443121589</v>
      </c>
      <c r="AW157" s="36">
        <v>9.430040718097203</v>
      </c>
      <c r="AX157" s="37">
        <v>2.7136036399586319</v>
      </c>
      <c r="AY157" s="38">
        <v>6.6434031999999998</v>
      </c>
      <c r="AZ157" s="38">
        <v>2.7866375180972027</v>
      </c>
      <c r="BA157" s="38">
        <v>0.81419152000000006</v>
      </c>
      <c r="BB157" s="38">
        <v>1.8994121199586316</v>
      </c>
      <c r="BC157" s="39">
        <v>0.41945933946884373</v>
      </c>
      <c r="BD157" s="38">
        <v>2.3328812365407976</v>
      </c>
      <c r="BE157" s="37">
        <f t="shared" si="18"/>
        <v>0.50034163362651307</v>
      </c>
      <c r="BF157" s="94"/>
      <c r="BI157" s="53"/>
      <c r="BN157" s="81">
        <v>27400</v>
      </c>
      <c r="BO157" s="81">
        <v>28200</v>
      </c>
      <c r="BP157" s="81">
        <v>15880</v>
      </c>
      <c r="BQ157" s="81">
        <v>3440</v>
      </c>
      <c r="BR157" s="29">
        <v>9.850230339502172</v>
      </c>
      <c r="BS157" s="82">
        <v>27.674471252111914</v>
      </c>
      <c r="BT157" s="29">
        <v>78.901515500136966</v>
      </c>
      <c r="BU157" s="82">
        <v>136.44505779631189</v>
      </c>
      <c r="BV157" s="81">
        <v>6000</v>
      </c>
      <c r="BW157" s="81">
        <v>8000</v>
      </c>
    </row>
    <row r="158" spans="1:75" s="42" customFormat="1">
      <c r="A158" s="25" t="s">
        <v>219</v>
      </c>
      <c r="B158" s="80" t="s">
        <v>96</v>
      </c>
      <c r="C158" s="78" t="s">
        <v>38</v>
      </c>
      <c r="D158" s="78" t="s">
        <v>36</v>
      </c>
      <c r="E158" s="78">
        <v>63</v>
      </c>
      <c r="F158" s="96"/>
      <c r="G158" s="78"/>
      <c r="H158" s="78"/>
      <c r="I158" s="78"/>
      <c r="J158" s="97" t="s">
        <v>47</v>
      </c>
      <c r="K158" s="98">
        <v>6.4</v>
      </c>
      <c r="L158" s="42">
        <v>1.9</v>
      </c>
      <c r="M158" s="15" t="s">
        <v>283</v>
      </c>
      <c r="N158" s="99">
        <v>76.424000000000007</v>
      </c>
      <c r="O158" s="42">
        <v>12.79</v>
      </c>
      <c r="P158" s="42" t="s">
        <v>42</v>
      </c>
      <c r="Q158" s="42" t="s">
        <v>42</v>
      </c>
      <c r="R158" s="27">
        <v>85.61</v>
      </c>
      <c r="S158" s="27">
        <v>85.61</v>
      </c>
      <c r="T158" s="100" t="s">
        <v>97</v>
      </c>
      <c r="U158" s="78">
        <v>100</v>
      </c>
      <c r="V158" s="78" t="s">
        <v>44</v>
      </c>
      <c r="W158" s="101">
        <v>76.424000000000021</v>
      </c>
      <c r="X158" s="78" t="s">
        <v>44</v>
      </c>
      <c r="Y158" s="78" t="s">
        <v>42</v>
      </c>
      <c r="Z158" s="42" t="s">
        <v>45</v>
      </c>
      <c r="AA158" s="42">
        <v>100</v>
      </c>
      <c r="AB158" s="42" t="s">
        <v>44</v>
      </c>
      <c r="AC158" s="27">
        <v>85.61</v>
      </c>
      <c r="AD158" s="84" t="s">
        <v>44</v>
      </c>
      <c r="AE158" s="27"/>
      <c r="AF158" s="81">
        <v>1</v>
      </c>
      <c r="AG158" s="81">
        <v>1</v>
      </c>
      <c r="AH158" s="89">
        <v>5</v>
      </c>
      <c r="AI158" s="95">
        <f t="shared" si="16"/>
        <v>1.9456428119091669</v>
      </c>
      <c r="AJ158" s="31">
        <f t="shared" si="17"/>
        <v>1.9456428119091669E-3</v>
      </c>
      <c r="AK158" s="41">
        <v>1.3081</v>
      </c>
      <c r="AL158" s="41">
        <v>0.11985852076510843</v>
      </c>
      <c r="AM158" s="41">
        <v>0.63754281190916684</v>
      </c>
      <c r="AN158" s="41">
        <v>4.0722110275693335E-2</v>
      </c>
      <c r="AO158" s="29">
        <v>6060</v>
      </c>
      <c r="AP158" s="29">
        <v>378.15340802378074</v>
      </c>
      <c r="AQ158" s="29">
        <v>7080</v>
      </c>
      <c r="AR158" s="29">
        <v>420.71367935925258</v>
      </c>
      <c r="AS158" s="29">
        <v>508</v>
      </c>
      <c r="AT158" s="81">
        <v>74.632432628181164</v>
      </c>
      <c r="AU158" s="81">
        <v>2820</v>
      </c>
      <c r="AV158" s="81">
        <v>319.37438845342626</v>
      </c>
      <c r="AW158" s="36">
        <v>12.440889108316901</v>
      </c>
      <c r="AX158" s="37">
        <v>2.4623855295838504</v>
      </c>
      <c r="AY158" s="38">
        <v>7.9270860000000001</v>
      </c>
      <c r="AZ158" s="38">
        <v>4.5138031083169006</v>
      </c>
      <c r="BA158" s="38">
        <v>0.66451479999999996</v>
      </c>
      <c r="BB158" s="38">
        <v>1.7978707295838503</v>
      </c>
      <c r="BC158" s="39">
        <v>0.56941518085169007</v>
      </c>
      <c r="BD158" s="38">
        <v>2.7055390332673559</v>
      </c>
      <c r="BE158" s="37">
        <f t="shared" si="18"/>
        <v>0.48738079039000598</v>
      </c>
      <c r="BF158" s="94"/>
      <c r="BG158" s="27"/>
      <c r="BH158" s="27"/>
      <c r="BI158" s="53"/>
      <c r="BN158" s="81">
        <v>26600</v>
      </c>
      <c r="BO158" s="81">
        <v>29200</v>
      </c>
      <c r="BP158" s="81">
        <v>18600</v>
      </c>
      <c r="BQ158" s="81">
        <v>4080</v>
      </c>
      <c r="BR158" s="29">
        <v>9.5227303690476042</v>
      </c>
      <c r="BS158" s="82">
        <v>32.568787767076437</v>
      </c>
      <c r="BT158" s="29">
        <v>80.765531201587891</v>
      </c>
      <c r="BU158" s="82">
        <v>148.14979713387169</v>
      </c>
      <c r="BV158" s="81">
        <v>6460</v>
      </c>
      <c r="BW158" s="81">
        <v>9820</v>
      </c>
    </row>
    <row r="159" spans="1:75" s="15" customFormat="1">
      <c r="A159" s="13" t="s">
        <v>220</v>
      </c>
      <c r="B159" s="14" t="s">
        <v>99</v>
      </c>
      <c r="C159" s="14" t="s">
        <v>35</v>
      </c>
      <c r="D159" s="14" t="s">
        <v>36</v>
      </c>
      <c r="E159" s="14">
        <v>63</v>
      </c>
      <c r="F159" s="16"/>
      <c r="G159" s="14"/>
      <c r="H159" s="14"/>
      <c r="I159" s="14"/>
      <c r="J159" s="102" t="s">
        <v>47</v>
      </c>
      <c r="K159" s="46">
        <v>5.7</v>
      </c>
      <c r="L159" s="15">
        <v>1.4850000000000001</v>
      </c>
      <c r="M159" s="15" t="s">
        <v>283</v>
      </c>
      <c r="N159" s="106">
        <v>8</v>
      </c>
      <c r="O159" s="15">
        <v>10.167999999999999</v>
      </c>
      <c r="P159" s="15" t="s">
        <v>42</v>
      </c>
      <c r="Q159" s="15" t="s">
        <v>42</v>
      </c>
      <c r="R159" s="107">
        <v>1</v>
      </c>
      <c r="S159" s="107">
        <v>1</v>
      </c>
      <c r="T159" s="14" t="s">
        <v>43</v>
      </c>
      <c r="U159" s="14">
        <v>20</v>
      </c>
      <c r="V159" s="14" t="s">
        <v>44</v>
      </c>
      <c r="W159" s="14">
        <v>8</v>
      </c>
      <c r="X159" s="14" t="s">
        <v>44</v>
      </c>
      <c r="Y159" s="14" t="s">
        <v>42</v>
      </c>
      <c r="Z159" s="15" t="s">
        <v>45</v>
      </c>
      <c r="AA159" s="15">
        <v>0</v>
      </c>
      <c r="AB159" s="15" t="s">
        <v>44</v>
      </c>
      <c r="AC159" s="107">
        <v>1</v>
      </c>
      <c r="AD159" s="107" t="s">
        <v>44</v>
      </c>
      <c r="AE159" s="107"/>
      <c r="AF159" s="108">
        <v>50.2</v>
      </c>
      <c r="AG159" s="109">
        <v>16.346238626636548</v>
      </c>
      <c r="AH159" s="109">
        <v>5</v>
      </c>
      <c r="AI159" s="110">
        <f t="shared" si="16"/>
        <v>0.80632728384058572</v>
      </c>
      <c r="AJ159" s="24">
        <f t="shared" si="17"/>
        <v>8.0632728384058571E-4</v>
      </c>
      <c r="AK159" s="111">
        <v>0.49831999999999999</v>
      </c>
      <c r="AL159" s="111">
        <v>0.20491294981040112</v>
      </c>
      <c r="AM159" s="111">
        <v>0.30800728384058579</v>
      </c>
      <c r="AN159" s="111">
        <v>0.10684022636000665</v>
      </c>
      <c r="AO159" s="108">
        <v>1402</v>
      </c>
      <c r="AP159" s="108">
        <v>296.26002092756289</v>
      </c>
      <c r="AQ159" s="108">
        <v>1434</v>
      </c>
      <c r="AR159" s="108">
        <v>361.84250717681027</v>
      </c>
      <c r="AS159" s="108">
        <v>65.516869753345901</v>
      </c>
      <c r="AT159" s="108">
        <v>9.3142854336409702</v>
      </c>
      <c r="AU159" s="108">
        <v>78.346059675861142</v>
      </c>
      <c r="AV159" s="108">
        <v>10.240290036508725</v>
      </c>
      <c r="AW159" s="50">
        <v>1.1403270850274001</v>
      </c>
      <c r="AX159" s="21">
        <v>5.6779523575861773E-2</v>
      </c>
      <c r="AY159" s="51">
        <v>0.69864464000000004</v>
      </c>
      <c r="AZ159" s="51">
        <v>0.44168244502740006</v>
      </c>
      <c r="BA159" s="51">
        <v>3.2648366535487333E-2</v>
      </c>
      <c r="BB159" s="51">
        <v>2.4131157040374437E-2</v>
      </c>
      <c r="BC159" s="52">
        <v>0.63219900324061751</v>
      </c>
      <c r="BD159" s="51">
        <v>0.7391229516534904</v>
      </c>
      <c r="BE159" s="21">
        <f t="shared" si="18"/>
        <v>0.61809135463273757</v>
      </c>
      <c r="BF159" s="23">
        <v>141.82249442655615</v>
      </c>
      <c r="BG159" s="112">
        <v>452.72541029308513</v>
      </c>
      <c r="BH159" s="113">
        <v>45.815038458165439</v>
      </c>
      <c r="BK159" s="15" t="s">
        <v>98</v>
      </c>
      <c r="BN159" s="103">
        <v>36200</v>
      </c>
      <c r="BO159" s="103">
        <v>30600</v>
      </c>
      <c r="BP159" s="103">
        <v>15180</v>
      </c>
      <c r="BQ159" s="103">
        <v>2520</v>
      </c>
      <c r="BR159" s="104">
        <v>26.598095612590811</v>
      </c>
      <c r="BS159" s="104">
        <v>51.682464986647823</v>
      </c>
      <c r="BT159" s="103">
        <v>588</v>
      </c>
      <c r="BU159" s="105">
        <v>204.58360225540929</v>
      </c>
      <c r="BV159" s="103">
        <v>19280</v>
      </c>
      <c r="BW159" s="103">
        <v>3020</v>
      </c>
    </row>
    <row r="160" spans="1:75" s="15" customFormat="1">
      <c r="A160" s="13" t="s">
        <v>220</v>
      </c>
      <c r="B160" s="14" t="s">
        <v>99</v>
      </c>
      <c r="C160" s="14" t="s">
        <v>35</v>
      </c>
      <c r="D160" s="14" t="s">
        <v>36</v>
      </c>
      <c r="E160" s="14">
        <v>63</v>
      </c>
      <c r="F160" s="16"/>
      <c r="G160" s="14"/>
      <c r="H160" s="14"/>
      <c r="I160" s="14"/>
      <c r="J160" s="19" t="s">
        <v>47</v>
      </c>
      <c r="K160" s="46">
        <v>5.7</v>
      </c>
      <c r="L160" s="15">
        <v>1.4850000000000001</v>
      </c>
      <c r="M160" s="15" t="s">
        <v>283</v>
      </c>
      <c r="N160" s="114">
        <v>8</v>
      </c>
      <c r="O160" s="15">
        <v>10.167999999999999</v>
      </c>
      <c r="P160" s="15" t="s">
        <v>42</v>
      </c>
      <c r="Q160" s="15" t="s">
        <v>42</v>
      </c>
      <c r="R160" s="107">
        <v>23</v>
      </c>
      <c r="S160" s="107">
        <v>23</v>
      </c>
      <c r="T160" s="14" t="s">
        <v>43</v>
      </c>
      <c r="U160" s="14">
        <v>20</v>
      </c>
      <c r="V160" s="14" t="s">
        <v>44</v>
      </c>
      <c r="W160" s="14">
        <v>8</v>
      </c>
      <c r="X160" s="14" t="s">
        <v>44</v>
      </c>
      <c r="Y160" s="14" t="s">
        <v>42</v>
      </c>
      <c r="Z160" s="15" t="s">
        <v>45</v>
      </c>
      <c r="AA160" s="15">
        <v>25</v>
      </c>
      <c r="AB160" s="15" t="s">
        <v>44</v>
      </c>
      <c r="AC160" s="107">
        <v>23</v>
      </c>
      <c r="AD160" s="107" t="s">
        <v>44</v>
      </c>
      <c r="AE160" s="107"/>
      <c r="AF160" s="108">
        <v>48.6</v>
      </c>
      <c r="AG160" s="109">
        <v>4.8785199599444988</v>
      </c>
      <c r="AH160" s="109">
        <v>5</v>
      </c>
      <c r="AI160" s="110">
        <f t="shared" si="16"/>
        <v>0.57993909851065673</v>
      </c>
      <c r="AJ160" s="24">
        <f t="shared" si="17"/>
        <v>5.7993909851065668E-4</v>
      </c>
      <c r="AK160" s="111">
        <v>0.35872000000000004</v>
      </c>
      <c r="AL160" s="111">
        <v>0.1051929275189163</v>
      </c>
      <c r="AM160" s="111">
        <v>0.22121909851065674</v>
      </c>
      <c r="AN160" s="111">
        <v>7.4683989395726749E-2</v>
      </c>
      <c r="AO160" s="108">
        <v>1268</v>
      </c>
      <c r="AP160" s="108">
        <v>96.79876032264049</v>
      </c>
      <c r="AQ160" s="108">
        <v>1516</v>
      </c>
      <c r="AR160" s="108">
        <v>70.569115057509407</v>
      </c>
      <c r="AS160" s="108">
        <v>732</v>
      </c>
      <c r="AT160" s="108">
        <v>90.664215653145092</v>
      </c>
      <c r="AU160" s="108">
        <v>2062</v>
      </c>
      <c r="AV160" s="108">
        <v>150.06665185843255</v>
      </c>
      <c r="AW160" s="50">
        <v>0.79022511334215562</v>
      </c>
      <c r="AX160" s="21">
        <v>0.7187368211289743</v>
      </c>
      <c r="AY160" s="51">
        <v>0.45485696000000003</v>
      </c>
      <c r="AZ160" s="51">
        <v>0.33536815334215564</v>
      </c>
      <c r="BA160" s="51">
        <v>0.26258304000000005</v>
      </c>
      <c r="BB160" s="51">
        <v>0.45615378112897426</v>
      </c>
      <c r="BC160" s="52">
        <v>0.73730465362595665</v>
      </c>
      <c r="BD160" s="51">
        <v>1.7371791458007881</v>
      </c>
      <c r="BE160" s="21">
        <f t="shared" si="18"/>
        <v>0.61669017203015364</v>
      </c>
      <c r="BF160" s="23">
        <v>50.768873106987918</v>
      </c>
      <c r="BG160" s="112">
        <v>208.12915895528585</v>
      </c>
      <c r="BH160" s="113">
        <v>59.38807975309264</v>
      </c>
      <c r="BN160" s="44">
        <v>30200</v>
      </c>
      <c r="BO160" s="44">
        <v>30400</v>
      </c>
      <c r="BP160" s="44">
        <v>19280</v>
      </c>
      <c r="BQ160" s="44">
        <v>2340</v>
      </c>
      <c r="BR160" s="45">
        <v>35.071251708350914</v>
      </c>
      <c r="BS160" s="45">
        <v>38.947535997552322</v>
      </c>
      <c r="BT160" s="44">
        <v>796</v>
      </c>
      <c r="BU160" s="43">
        <v>193.46440208083851</v>
      </c>
      <c r="BV160" s="44">
        <v>23400</v>
      </c>
      <c r="BW160" s="44">
        <v>3800</v>
      </c>
    </row>
    <row r="161" spans="1:75" s="15" customFormat="1">
      <c r="A161" s="13" t="s">
        <v>220</v>
      </c>
      <c r="B161" s="14" t="s">
        <v>99</v>
      </c>
      <c r="C161" s="14" t="s">
        <v>35</v>
      </c>
      <c r="D161" s="14" t="s">
        <v>36</v>
      </c>
      <c r="E161" s="14">
        <v>63</v>
      </c>
      <c r="F161" s="16"/>
      <c r="G161" s="14"/>
      <c r="H161" s="14"/>
      <c r="I161" s="14"/>
      <c r="J161" s="102" t="s">
        <v>47</v>
      </c>
      <c r="K161" s="46">
        <v>5.7</v>
      </c>
      <c r="L161" s="15">
        <v>1.4850000000000001</v>
      </c>
      <c r="M161" s="15" t="s">
        <v>283</v>
      </c>
      <c r="N161" s="114">
        <v>8</v>
      </c>
      <c r="O161" s="15">
        <v>10.167999999999999</v>
      </c>
      <c r="P161" s="15" t="s">
        <v>42</v>
      </c>
      <c r="Q161" s="15" t="s">
        <v>42</v>
      </c>
      <c r="R161" s="107">
        <v>48</v>
      </c>
      <c r="S161" s="107">
        <v>48</v>
      </c>
      <c r="T161" s="14" t="s">
        <v>43</v>
      </c>
      <c r="U161" s="14">
        <v>20</v>
      </c>
      <c r="V161" s="14" t="s">
        <v>44</v>
      </c>
      <c r="W161" s="14">
        <v>8</v>
      </c>
      <c r="X161" s="14" t="s">
        <v>44</v>
      </c>
      <c r="Y161" s="14" t="s">
        <v>42</v>
      </c>
      <c r="Z161" s="15" t="s">
        <v>45</v>
      </c>
      <c r="AA161" s="15">
        <v>50</v>
      </c>
      <c r="AB161" s="15" t="s">
        <v>44</v>
      </c>
      <c r="AC161" s="107">
        <v>48</v>
      </c>
      <c r="AD161" s="107" t="s">
        <v>44</v>
      </c>
      <c r="AE161" s="107"/>
      <c r="AF161" s="108">
        <v>45.8</v>
      </c>
      <c r="AG161" s="109">
        <v>8.8712940324128819</v>
      </c>
      <c r="AH161" s="109">
        <v>5</v>
      </c>
      <c r="AI161" s="110">
        <f t="shared" si="16"/>
        <v>0.20745008468738604</v>
      </c>
      <c r="AJ161" s="24">
        <f t="shared" si="17"/>
        <v>2.0745008468738604E-4</v>
      </c>
      <c r="AK161" s="111">
        <v>0.12778</v>
      </c>
      <c r="AL161" s="111">
        <v>4.5445648856628676E-2</v>
      </c>
      <c r="AM161" s="111">
        <v>7.9670084687386039E-2</v>
      </c>
      <c r="AN161" s="111">
        <v>2.5204676301416252E-2</v>
      </c>
      <c r="AO161" s="108">
        <v>1416</v>
      </c>
      <c r="AP161" s="108">
        <v>145.3616180427282</v>
      </c>
      <c r="AQ161" s="108">
        <v>1740</v>
      </c>
      <c r="AR161" s="108">
        <v>224.61077445216202</v>
      </c>
      <c r="AS161" s="108">
        <v>1772</v>
      </c>
      <c r="AT161" s="108">
        <v>108.25894882179486</v>
      </c>
      <c r="AU161" s="108">
        <v>4540</v>
      </c>
      <c r="AV161" s="108">
        <v>804.9844718999243</v>
      </c>
      <c r="AW161" s="50">
        <v>0.31956242735605173</v>
      </c>
      <c r="AX161" s="21">
        <v>0.58812834448073259</v>
      </c>
      <c r="AY161" s="51">
        <v>0.18093648000000001</v>
      </c>
      <c r="AZ161" s="51">
        <v>0.13862594735605172</v>
      </c>
      <c r="BA161" s="51">
        <v>0.22642615999999999</v>
      </c>
      <c r="BB161" s="51">
        <v>0.3617021844807326</v>
      </c>
      <c r="BC161" s="52">
        <v>0.76615808683827447</v>
      </c>
      <c r="BD161" s="51">
        <v>1.5974399092434046</v>
      </c>
      <c r="BE161" s="21">
        <f t="shared" si="18"/>
        <v>0.62349416722011297</v>
      </c>
      <c r="BF161" s="23">
        <v>10.881660341898817</v>
      </c>
      <c r="BG161" s="112">
        <v>144.8091670503006</v>
      </c>
      <c r="BH161" s="113">
        <v>4.8627031774786591</v>
      </c>
      <c r="BN161" s="44">
        <v>27000</v>
      </c>
      <c r="BO161" s="44">
        <v>35800</v>
      </c>
      <c r="BP161" s="44">
        <v>23200</v>
      </c>
      <c r="BQ161" s="44">
        <v>2580</v>
      </c>
      <c r="BR161" s="45">
        <v>45.076714925891245</v>
      </c>
      <c r="BS161" s="45">
        <v>46.059561040303322</v>
      </c>
      <c r="BT161" s="44">
        <v>838</v>
      </c>
      <c r="BU161" s="43">
        <v>215.44814383561643</v>
      </c>
      <c r="BV161" s="44">
        <v>25200</v>
      </c>
      <c r="BW161" s="44">
        <v>4680</v>
      </c>
    </row>
    <row r="162" spans="1:75" s="15" customFormat="1">
      <c r="A162" s="13" t="s">
        <v>220</v>
      </c>
      <c r="B162" s="14" t="s">
        <v>99</v>
      </c>
      <c r="C162" s="14" t="s">
        <v>35</v>
      </c>
      <c r="D162" s="14" t="s">
        <v>36</v>
      </c>
      <c r="E162" s="14">
        <v>63</v>
      </c>
      <c r="F162" s="16"/>
      <c r="G162" s="14"/>
      <c r="H162" s="14"/>
      <c r="I162" s="14"/>
      <c r="J162" s="19" t="s">
        <v>47</v>
      </c>
      <c r="K162" s="46">
        <v>5.7</v>
      </c>
      <c r="L162" s="15">
        <v>1.4850000000000001</v>
      </c>
      <c r="M162" s="15" t="s">
        <v>283</v>
      </c>
      <c r="N162" s="114">
        <v>8</v>
      </c>
      <c r="O162" s="15">
        <v>10.167999999999999</v>
      </c>
      <c r="P162" s="15" t="s">
        <v>42</v>
      </c>
      <c r="Q162" s="15" t="s">
        <v>42</v>
      </c>
      <c r="R162" s="107">
        <v>74</v>
      </c>
      <c r="S162" s="107">
        <v>74</v>
      </c>
      <c r="T162" s="14" t="s">
        <v>43</v>
      </c>
      <c r="U162" s="14">
        <v>20</v>
      </c>
      <c r="V162" s="14" t="s">
        <v>44</v>
      </c>
      <c r="W162" s="14">
        <v>8</v>
      </c>
      <c r="X162" s="14" t="s">
        <v>44</v>
      </c>
      <c r="Y162" s="14" t="s">
        <v>42</v>
      </c>
      <c r="Z162" s="15" t="s">
        <v>45</v>
      </c>
      <c r="AA162" s="15">
        <v>75</v>
      </c>
      <c r="AB162" s="15" t="s">
        <v>44</v>
      </c>
      <c r="AC162" s="107">
        <v>74</v>
      </c>
      <c r="AD162" s="107" t="s">
        <v>44</v>
      </c>
      <c r="AE162" s="107"/>
      <c r="AF162" s="108">
        <v>39.799999999999997</v>
      </c>
      <c r="AG162" s="109">
        <v>7.6941466739960127</v>
      </c>
      <c r="AH162" s="109">
        <v>5</v>
      </c>
      <c r="AI162" s="110">
        <f t="shared" si="16"/>
        <v>9.5374795881510946E-2</v>
      </c>
      <c r="AJ162" s="24">
        <f t="shared" si="17"/>
        <v>9.5374795881510949E-5</v>
      </c>
      <c r="AK162" s="111">
        <v>5.6660000000000002E-2</v>
      </c>
      <c r="AL162" s="111">
        <v>1.782759097578809E-2</v>
      </c>
      <c r="AM162" s="111">
        <v>3.8714795881510944E-2</v>
      </c>
      <c r="AN162" s="111">
        <v>9.7494624979382917E-3</v>
      </c>
      <c r="AO162" s="108">
        <v>1070</v>
      </c>
      <c r="AP162" s="108">
        <v>228.36374493338474</v>
      </c>
      <c r="AQ162" s="108">
        <v>1490</v>
      </c>
      <c r="AR162" s="108">
        <v>131.33925536563697</v>
      </c>
      <c r="AS162" s="108">
        <v>3740</v>
      </c>
      <c r="AT162" s="108">
        <v>820.36577207974733</v>
      </c>
      <c r="AU162" s="108">
        <v>6600</v>
      </c>
      <c r="AV162" s="108">
        <v>484.76798574163291</v>
      </c>
      <c r="AW162" s="50">
        <v>0.11831124586345132</v>
      </c>
      <c r="AX162" s="21">
        <v>0.46742605281797223</v>
      </c>
      <c r="AY162" s="51">
        <v>6.0626200000000005E-2</v>
      </c>
      <c r="AZ162" s="51">
        <v>5.7685045863451308E-2</v>
      </c>
      <c r="BA162" s="51">
        <v>0.21190840000000002</v>
      </c>
      <c r="BB162" s="51">
        <v>0.25551765281797223</v>
      </c>
      <c r="BC162" s="52">
        <v>0.95148707759106299</v>
      </c>
      <c r="BD162" s="51">
        <v>1.2057929408082559</v>
      </c>
      <c r="BE162" s="21">
        <f t="shared" si="18"/>
        <v>0.68328266645801172</v>
      </c>
      <c r="BF162" s="23">
        <v>-17.267227664881382</v>
      </c>
      <c r="BG162" s="112">
        <v>43.703486076549012</v>
      </c>
      <c r="BH162" s="113">
        <v>-23.668700301408894</v>
      </c>
      <c r="BN162" s="44">
        <v>20800</v>
      </c>
      <c r="BO162" s="44">
        <v>31600</v>
      </c>
      <c r="BP162" s="44">
        <v>24600</v>
      </c>
      <c r="BQ162" s="44">
        <v>2560</v>
      </c>
      <c r="BR162" s="45">
        <v>44.353843100834098</v>
      </c>
      <c r="BS162" s="45">
        <v>39.346525010306244</v>
      </c>
      <c r="BT162" s="44">
        <v>908</v>
      </c>
      <c r="BU162" s="43">
        <v>206.86828100000002</v>
      </c>
      <c r="BV162" s="44">
        <v>26600</v>
      </c>
      <c r="BW162" s="44">
        <v>4180</v>
      </c>
    </row>
    <row r="163" spans="1:75" s="15" customFormat="1">
      <c r="A163" s="13" t="s">
        <v>220</v>
      </c>
      <c r="B163" s="14" t="s">
        <v>99</v>
      </c>
      <c r="C163" s="14" t="s">
        <v>35</v>
      </c>
      <c r="D163" s="14" t="s">
        <v>36</v>
      </c>
      <c r="E163" s="14">
        <v>63</v>
      </c>
      <c r="F163" s="16"/>
      <c r="G163" s="14"/>
      <c r="H163" s="14"/>
      <c r="I163" s="14"/>
      <c r="J163" s="102" t="s">
        <v>47</v>
      </c>
      <c r="K163" s="46">
        <v>5.7</v>
      </c>
      <c r="L163" s="15">
        <v>1.4850000000000001</v>
      </c>
      <c r="M163" s="15" t="s">
        <v>283</v>
      </c>
      <c r="N163" s="114">
        <v>8</v>
      </c>
      <c r="O163" s="15">
        <v>10.167999999999999</v>
      </c>
      <c r="P163" s="15" t="s">
        <v>42</v>
      </c>
      <c r="Q163" s="15" t="s">
        <v>42</v>
      </c>
      <c r="R163" s="107">
        <v>98</v>
      </c>
      <c r="S163" s="107">
        <v>98</v>
      </c>
      <c r="T163" s="14" t="s">
        <v>43</v>
      </c>
      <c r="U163" s="14">
        <v>20</v>
      </c>
      <c r="V163" s="14" t="s">
        <v>44</v>
      </c>
      <c r="W163" s="14">
        <v>8</v>
      </c>
      <c r="X163" s="14" t="s">
        <v>44</v>
      </c>
      <c r="Y163" s="14" t="s">
        <v>42</v>
      </c>
      <c r="Z163" s="15" t="s">
        <v>45</v>
      </c>
      <c r="AA163" s="15">
        <v>100</v>
      </c>
      <c r="AB163" s="15" t="s">
        <v>44</v>
      </c>
      <c r="AC163" s="107">
        <v>98</v>
      </c>
      <c r="AD163" s="107" t="s">
        <v>44</v>
      </c>
      <c r="AE163" s="107"/>
      <c r="AF163" s="108">
        <v>23.2</v>
      </c>
      <c r="AG163" s="109">
        <v>7.155411064005178</v>
      </c>
      <c r="AH163" s="109">
        <v>5</v>
      </c>
      <c r="AI163" s="110">
        <f t="shared" si="16"/>
        <v>4.7443112645868063E-2</v>
      </c>
      <c r="AJ163" s="24">
        <f t="shared" si="17"/>
        <v>4.7443112645868063E-5</v>
      </c>
      <c r="AK163" s="111">
        <v>2.6360000000000005E-2</v>
      </c>
      <c r="AL163" s="111">
        <v>4.8070781146138716E-3</v>
      </c>
      <c r="AM163" s="111">
        <v>2.1083112645868061E-2</v>
      </c>
      <c r="AN163" s="111">
        <v>5.4777548753919651E-3</v>
      </c>
      <c r="AO163" s="108">
        <v>742</v>
      </c>
      <c r="AP163" s="108">
        <v>137.18600511714013</v>
      </c>
      <c r="AQ163" s="108">
        <v>1196</v>
      </c>
      <c r="AR163" s="108">
        <v>142.23220451079285</v>
      </c>
      <c r="AS163" s="108">
        <v>5640</v>
      </c>
      <c r="AT163" s="108">
        <v>1003.9920318408906</v>
      </c>
      <c r="AU163" s="108">
        <v>8180</v>
      </c>
      <c r="AV163" s="108">
        <v>1018.3319694480774</v>
      </c>
      <c r="AW163" s="50">
        <v>4.4774522724458199E-2</v>
      </c>
      <c r="AX163" s="21">
        <v>0.32113026144320078</v>
      </c>
      <c r="AY163" s="51">
        <v>1.9559120000000003E-2</v>
      </c>
      <c r="AZ163" s="51">
        <v>2.52154027244582E-2</v>
      </c>
      <c r="BA163" s="51">
        <v>0.14867040000000004</v>
      </c>
      <c r="BB163" s="51">
        <v>0.17245986144320075</v>
      </c>
      <c r="BC163" s="52">
        <v>1.2891890189567934</v>
      </c>
      <c r="BD163" s="51">
        <v>1.1600147806369034</v>
      </c>
      <c r="BE163" s="21">
        <f t="shared" si="18"/>
        <v>0.79981459202837846</v>
      </c>
      <c r="BF163" s="23">
        <v>-14.592831634580563</v>
      </c>
      <c r="BG163" s="112">
        <v>17.097039724045867</v>
      </c>
      <c r="BH163" s="113">
        <v>-7.7061838917242529</v>
      </c>
      <c r="BN163" s="44">
        <v>21820</v>
      </c>
      <c r="BO163" s="44">
        <v>28200</v>
      </c>
      <c r="BP163" s="44">
        <v>24480</v>
      </c>
      <c r="BQ163" s="44">
        <v>2720</v>
      </c>
      <c r="BR163" s="45">
        <v>39.628155922109272</v>
      </c>
      <c r="BS163" s="45">
        <v>37.01470858041732</v>
      </c>
      <c r="BT163" s="44">
        <v>874</v>
      </c>
      <c r="BU163" s="43">
        <v>201.87309760869567</v>
      </c>
      <c r="BV163" s="44">
        <v>24600</v>
      </c>
      <c r="BW163" s="44">
        <v>4080</v>
      </c>
    </row>
    <row r="164" spans="1:75" s="15" customFormat="1">
      <c r="A164" s="13" t="s">
        <v>220</v>
      </c>
      <c r="B164" s="14" t="s">
        <v>99</v>
      </c>
      <c r="C164" s="14" t="s">
        <v>35</v>
      </c>
      <c r="D164" s="14" t="s">
        <v>36</v>
      </c>
      <c r="E164" s="14">
        <v>63</v>
      </c>
      <c r="F164" s="16"/>
      <c r="G164" s="14"/>
      <c r="H164" s="14"/>
      <c r="I164" s="14"/>
      <c r="J164" s="19" t="s">
        <v>47</v>
      </c>
      <c r="K164" s="46">
        <v>5.7</v>
      </c>
      <c r="L164" s="15">
        <v>1.4850000000000001</v>
      </c>
      <c r="M164" s="15" t="s">
        <v>283</v>
      </c>
      <c r="N164" s="114">
        <v>15</v>
      </c>
      <c r="O164" s="15">
        <v>10.167999999999999</v>
      </c>
      <c r="P164" s="15" t="s">
        <v>42</v>
      </c>
      <c r="Q164" s="15" t="s">
        <v>42</v>
      </c>
      <c r="R164" s="107">
        <v>1</v>
      </c>
      <c r="S164" s="107">
        <v>1</v>
      </c>
      <c r="T164" s="14" t="s">
        <v>43</v>
      </c>
      <c r="U164" s="14">
        <v>75</v>
      </c>
      <c r="V164" s="14" t="s">
        <v>44</v>
      </c>
      <c r="W164" s="14">
        <v>15</v>
      </c>
      <c r="X164" s="14" t="s">
        <v>44</v>
      </c>
      <c r="Y164" s="14" t="s">
        <v>42</v>
      </c>
      <c r="Z164" s="15" t="s">
        <v>45</v>
      </c>
      <c r="AA164" s="15">
        <v>0</v>
      </c>
      <c r="AB164" s="15" t="s">
        <v>44</v>
      </c>
      <c r="AC164" s="107">
        <v>1</v>
      </c>
      <c r="AD164" s="107" t="s">
        <v>44</v>
      </c>
      <c r="AE164" s="107"/>
      <c r="AF164" s="108">
        <v>23.6</v>
      </c>
      <c r="AG164" s="109">
        <v>4.3931725586310382</v>
      </c>
      <c r="AH164" s="109">
        <v>5</v>
      </c>
      <c r="AI164" s="110">
        <f t="shared" si="16"/>
        <v>1.9759100931298765</v>
      </c>
      <c r="AJ164" s="24">
        <f t="shared" si="17"/>
        <v>1.9759100931298766E-3</v>
      </c>
      <c r="AK164" s="111">
        <v>1.32836</v>
      </c>
      <c r="AL164" s="111">
        <v>0.19049660889370207</v>
      </c>
      <c r="AM164" s="111">
        <v>0.64755009312987666</v>
      </c>
      <c r="AN164" s="111">
        <v>0.11684829293279052</v>
      </c>
      <c r="AO164" s="108">
        <v>1100</v>
      </c>
      <c r="AP164" s="108">
        <v>108.39741694339399</v>
      </c>
      <c r="AQ164" s="108">
        <v>1160</v>
      </c>
      <c r="AR164" s="108">
        <v>48.47679857416329</v>
      </c>
      <c r="AS164" s="108">
        <v>35.060501887354569</v>
      </c>
      <c r="AT164" s="108">
        <v>3.0156506890976176</v>
      </c>
      <c r="AU164" s="108">
        <v>36.73035982430136</v>
      </c>
      <c r="AV164" s="108">
        <v>5.2004742586794972</v>
      </c>
      <c r="AW164" s="50">
        <v>2.2123541080306568</v>
      </c>
      <c r="AX164" s="21">
        <v>7.0357716212006538E-2</v>
      </c>
      <c r="AY164" s="51">
        <v>1.4611959999999999</v>
      </c>
      <c r="AZ164" s="51">
        <v>0.75115810803065686</v>
      </c>
      <c r="BA164" s="51">
        <v>4.6572968287086312E-2</v>
      </c>
      <c r="BB164" s="51">
        <v>2.3784747924920226E-2</v>
      </c>
      <c r="BC164" s="52">
        <v>0.51407073933316061</v>
      </c>
      <c r="BD164" s="51">
        <v>0.51069856184183193</v>
      </c>
      <c r="BE164" s="21">
        <f t="shared" si="18"/>
        <v>0.48748087350558333</v>
      </c>
      <c r="BF164" s="23">
        <v>7.0901225471067821</v>
      </c>
      <c r="BG164" s="112">
        <v>9.6999729747623604</v>
      </c>
      <c r="BH164" s="113">
        <v>-14.733933592858852</v>
      </c>
      <c r="BN164" s="44">
        <v>34600</v>
      </c>
      <c r="BO164" s="44">
        <v>28400</v>
      </c>
      <c r="BP164" s="44">
        <v>10860</v>
      </c>
      <c r="BQ164" s="44">
        <v>2400</v>
      </c>
      <c r="BR164" s="45">
        <v>8.2628574616404045</v>
      </c>
      <c r="BS164" s="45">
        <v>22.572075100664591</v>
      </c>
      <c r="BT164" s="44">
        <v>280</v>
      </c>
      <c r="BU164" s="43">
        <v>835.42752148806142</v>
      </c>
      <c r="BV164" s="44">
        <v>7740</v>
      </c>
      <c r="BW164" s="44">
        <v>3040</v>
      </c>
    </row>
    <row r="165" spans="1:75" s="15" customFormat="1">
      <c r="A165" s="13" t="s">
        <v>220</v>
      </c>
      <c r="B165" s="14" t="s">
        <v>99</v>
      </c>
      <c r="C165" s="14" t="s">
        <v>35</v>
      </c>
      <c r="D165" s="14" t="s">
        <v>36</v>
      </c>
      <c r="E165" s="14">
        <v>63</v>
      </c>
      <c r="F165" s="16"/>
      <c r="G165" s="14"/>
      <c r="H165" s="14"/>
      <c r="I165" s="14"/>
      <c r="J165" s="102" t="s">
        <v>47</v>
      </c>
      <c r="K165" s="46">
        <v>5.7</v>
      </c>
      <c r="L165" s="15">
        <v>1.4850000000000001</v>
      </c>
      <c r="M165" s="15" t="s">
        <v>283</v>
      </c>
      <c r="N165" s="114">
        <v>15</v>
      </c>
      <c r="O165" s="15">
        <v>10.167999999999999</v>
      </c>
      <c r="P165" s="15" t="s">
        <v>42</v>
      </c>
      <c r="Q165" s="15" t="s">
        <v>42</v>
      </c>
      <c r="R165" s="107">
        <v>23</v>
      </c>
      <c r="S165" s="107">
        <v>23</v>
      </c>
      <c r="T165" s="14" t="s">
        <v>43</v>
      </c>
      <c r="U165" s="14">
        <v>75</v>
      </c>
      <c r="V165" s="14" t="s">
        <v>44</v>
      </c>
      <c r="W165" s="14">
        <v>15</v>
      </c>
      <c r="X165" s="14" t="s">
        <v>44</v>
      </c>
      <c r="Y165" s="14" t="s">
        <v>42</v>
      </c>
      <c r="Z165" s="15" t="s">
        <v>45</v>
      </c>
      <c r="AA165" s="15">
        <v>25</v>
      </c>
      <c r="AB165" s="15" t="s">
        <v>44</v>
      </c>
      <c r="AC165" s="107">
        <v>23</v>
      </c>
      <c r="AD165" s="107" t="s">
        <v>44</v>
      </c>
      <c r="AE165" s="107"/>
      <c r="AF165" s="108">
        <v>25.6</v>
      </c>
      <c r="AG165" s="109">
        <v>3.6469132112447689</v>
      </c>
      <c r="AH165" s="109">
        <v>5</v>
      </c>
      <c r="AI165" s="110">
        <f t="shared" si="16"/>
        <v>1.8333673609551537</v>
      </c>
      <c r="AJ165" s="24">
        <f t="shared" si="17"/>
        <v>1.8333673609551538E-3</v>
      </c>
      <c r="AK165" s="111">
        <v>1.2532799999999997</v>
      </c>
      <c r="AL165" s="111">
        <v>0.18532010684218927</v>
      </c>
      <c r="AM165" s="111">
        <v>0.58008736095515412</v>
      </c>
      <c r="AN165" s="111">
        <v>4.182658162274288E-2</v>
      </c>
      <c r="AO165" s="108">
        <v>956</v>
      </c>
      <c r="AP165" s="108">
        <v>54.12947441089743</v>
      </c>
      <c r="AQ165" s="108">
        <v>1058</v>
      </c>
      <c r="AR165" s="108">
        <v>76.615925237511817</v>
      </c>
      <c r="AS165" s="108">
        <v>346</v>
      </c>
      <c r="AT165" s="108">
        <v>24.083189157584592</v>
      </c>
      <c r="AU165" s="108">
        <v>860</v>
      </c>
      <c r="AV165" s="108">
        <v>129.80754985747168</v>
      </c>
      <c r="AW165" s="50">
        <v>1.8118681078905525</v>
      </c>
      <c r="AX165" s="21">
        <v>0.93251001042143233</v>
      </c>
      <c r="AY165" s="51">
        <v>1.1981356799999996</v>
      </c>
      <c r="AZ165" s="51">
        <v>0.61373242789055305</v>
      </c>
      <c r="BA165" s="51">
        <v>0.43363487999999989</v>
      </c>
      <c r="BB165" s="51">
        <v>0.4988751304214325</v>
      </c>
      <c r="BC165" s="52">
        <v>0.51223950520407946</v>
      </c>
      <c r="BD165" s="51">
        <v>1.1504497295545797</v>
      </c>
      <c r="BE165" s="21">
        <f t="shared" si="18"/>
        <v>0.46285535630916813</v>
      </c>
      <c r="BF165" s="23">
        <v>24.652320491487814</v>
      </c>
      <c r="BG165" s="112">
        <v>16.245889624572975</v>
      </c>
      <c r="BH165" s="113">
        <v>-2.9032688518508203</v>
      </c>
      <c r="BN165" s="44">
        <v>34600</v>
      </c>
      <c r="BO165" s="44">
        <v>27600</v>
      </c>
      <c r="BP165" s="44">
        <v>11440</v>
      </c>
      <c r="BQ165" s="44">
        <v>2300</v>
      </c>
      <c r="BR165" s="45">
        <v>11.34723324824623</v>
      </c>
      <c r="BS165" s="45">
        <v>16.743003385932841</v>
      </c>
      <c r="BT165" s="44">
        <v>298</v>
      </c>
      <c r="BU165" s="43">
        <v>114.77782848256257</v>
      </c>
      <c r="BV165" s="44">
        <v>8260</v>
      </c>
      <c r="BW165" s="44">
        <v>3260</v>
      </c>
    </row>
    <row r="166" spans="1:75" s="15" customFormat="1">
      <c r="A166" s="13" t="s">
        <v>220</v>
      </c>
      <c r="B166" s="14" t="s">
        <v>99</v>
      </c>
      <c r="C166" s="14" t="s">
        <v>35</v>
      </c>
      <c r="D166" s="14" t="s">
        <v>36</v>
      </c>
      <c r="E166" s="14">
        <v>63</v>
      </c>
      <c r="F166" s="16"/>
      <c r="G166" s="14"/>
      <c r="H166" s="14"/>
      <c r="I166" s="14"/>
      <c r="J166" s="19" t="s">
        <v>47</v>
      </c>
      <c r="K166" s="46">
        <v>5.7</v>
      </c>
      <c r="L166" s="15">
        <v>1.4850000000000001</v>
      </c>
      <c r="M166" s="15" t="s">
        <v>283</v>
      </c>
      <c r="N166" s="114">
        <v>15</v>
      </c>
      <c r="O166" s="15">
        <v>10.167999999999999</v>
      </c>
      <c r="P166" s="15" t="s">
        <v>42</v>
      </c>
      <c r="Q166" s="15" t="s">
        <v>42</v>
      </c>
      <c r="R166" s="107">
        <v>48</v>
      </c>
      <c r="S166" s="107">
        <v>48</v>
      </c>
      <c r="T166" s="14" t="s">
        <v>43</v>
      </c>
      <c r="U166" s="14">
        <v>75</v>
      </c>
      <c r="V166" s="14" t="s">
        <v>44</v>
      </c>
      <c r="W166" s="14">
        <v>15</v>
      </c>
      <c r="X166" s="14" t="s">
        <v>44</v>
      </c>
      <c r="Y166" s="14" t="s">
        <v>42</v>
      </c>
      <c r="Z166" s="15" t="s">
        <v>45</v>
      </c>
      <c r="AA166" s="15">
        <v>50</v>
      </c>
      <c r="AB166" s="15" t="s">
        <v>44</v>
      </c>
      <c r="AC166" s="107">
        <v>48</v>
      </c>
      <c r="AD166" s="107" t="s">
        <v>44</v>
      </c>
      <c r="AE166" s="107"/>
      <c r="AF166" s="108">
        <v>15.8</v>
      </c>
      <c r="AG166" s="109">
        <v>1.6431661881260535</v>
      </c>
      <c r="AH166" s="109">
        <v>5</v>
      </c>
      <c r="AI166" s="110">
        <f t="shared" si="16"/>
        <v>1.7088501115925783</v>
      </c>
      <c r="AJ166" s="24">
        <f t="shared" si="17"/>
        <v>1.7088501115925783E-3</v>
      </c>
      <c r="AK166" s="111">
        <v>1.10128</v>
      </c>
      <c r="AL166" s="111">
        <v>0.11444289842537153</v>
      </c>
      <c r="AM166" s="111">
        <v>0.60757011159257812</v>
      </c>
      <c r="AN166" s="111">
        <v>7.3706841436394235E-2</v>
      </c>
      <c r="AO166" s="108">
        <v>1096</v>
      </c>
      <c r="AP166" s="108">
        <v>63.482280992415511</v>
      </c>
      <c r="AQ166" s="108">
        <v>1270</v>
      </c>
      <c r="AR166" s="108">
        <v>92.466210044534648</v>
      </c>
      <c r="AS166" s="108">
        <v>812</v>
      </c>
      <c r="AT166" s="108">
        <v>117.77096416349829</v>
      </c>
      <c r="AU166" s="108">
        <v>2218</v>
      </c>
      <c r="AV166" s="108">
        <v>167.69019053003666</v>
      </c>
      <c r="AW166" s="50">
        <v>1.9786169217225744</v>
      </c>
      <c r="AX166" s="21">
        <v>2.2418298675123385</v>
      </c>
      <c r="AY166" s="51">
        <v>1.2070028800000001</v>
      </c>
      <c r="AZ166" s="51">
        <v>0.77161404172257431</v>
      </c>
      <c r="BA166" s="51">
        <v>0.89423936000000004</v>
      </c>
      <c r="BB166" s="51">
        <v>1.3475905075123384</v>
      </c>
      <c r="BC166" s="52">
        <v>0.63928102783199181</v>
      </c>
      <c r="BD166" s="51">
        <v>1.5069684558643655</v>
      </c>
      <c r="BE166" s="21">
        <f t="shared" si="18"/>
        <v>0.55169449331012832</v>
      </c>
      <c r="BF166" s="23">
        <v>9.3962095152015426</v>
      </c>
      <c r="BG166" s="112">
        <v>22.480202605261031</v>
      </c>
      <c r="BH166" s="113">
        <v>6.2772484752520459</v>
      </c>
      <c r="BN166" s="44">
        <v>40600</v>
      </c>
      <c r="BO166" s="44">
        <v>30000</v>
      </c>
      <c r="BP166" s="44">
        <v>11120</v>
      </c>
      <c r="BQ166" s="44">
        <v>2440</v>
      </c>
      <c r="BR166" s="45">
        <v>14.765563417255882</v>
      </c>
      <c r="BS166" s="45">
        <v>20.364009128817223</v>
      </c>
      <c r="BT166" s="44">
        <v>230</v>
      </c>
      <c r="BU166" s="43">
        <v>109.15666348380894</v>
      </c>
      <c r="BV166" s="44">
        <v>7140</v>
      </c>
      <c r="BW166" s="44">
        <v>3520</v>
      </c>
    </row>
    <row r="167" spans="1:75" s="15" customFormat="1">
      <c r="A167" s="13" t="s">
        <v>220</v>
      </c>
      <c r="B167" s="14" t="s">
        <v>99</v>
      </c>
      <c r="C167" s="14" t="s">
        <v>35</v>
      </c>
      <c r="D167" s="14" t="s">
        <v>36</v>
      </c>
      <c r="E167" s="14">
        <v>63</v>
      </c>
      <c r="F167" s="16"/>
      <c r="G167" s="14"/>
      <c r="H167" s="14"/>
      <c r="I167" s="14"/>
      <c r="J167" s="102" t="s">
        <v>47</v>
      </c>
      <c r="K167" s="46">
        <v>5.7</v>
      </c>
      <c r="L167" s="15">
        <v>1.4850000000000001</v>
      </c>
      <c r="M167" s="15" t="s">
        <v>283</v>
      </c>
      <c r="N167" s="114">
        <v>15</v>
      </c>
      <c r="O167" s="15">
        <v>10.167999999999999</v>
      </c>
      <c r="P167" s="15" t="s">
        <v>42</v>
      </c>
      <c r="Q167" s="15" t="s">
        <v>42</v>
      </c>
      <c r="R167" s="107">
        <v>74</v>
      </c>
      <c r="S167" s="107">
        <v>74</v>
      </c>
      <c r="T167" s="14" t="s">
        <v>43</v>
      </c>
      <c r="U167" s="14">
        <v>75</v>
      </c>
      <c r="V167" s="14" t="s">
        <v>44</v>
      </c>
      <c r="W167" s="14">
        <v>15</v>
      </c>
      <c r="X167" s="14" t="s">
        <v>44</v>
      </c>
      <c r="Y167" s="14" t="s">
        <v>42</v>
      </c>
      <c r="Z167" s="15" t="s">
        <v>45</v>
      </c>
      <c r="AA167" s="15">
        <v>75</v>
      </c>
      <c r="AB167" s="15" t="s">
        <v>44</v>
      </c>
      <c r="AC167" s="107">
        <v>74</v>
      </c>
      <c r="AD167" s="107" t="s">
        <v>44</v>
      </c>
      <c r="AE167" s="107"/>
      <c r="AF167" s="108">
        <v>10.4</v>
      </c>
      <c r="AG167" s="109">
        <v>2.7018487764481827</v>
      </c>
      <c r="AH167" s="109">
        <v>5</v>
      </c>
      <c r="AI167" s="110">
        <f t="shared" si="16"/>
        <v>1.5174366746331034</v>
      </c>
      <c r="AJ167" s="24">
        <f t="shared" si="17"/>
        <v>1.5174366746331033E-3</v>
      </c>
      <c r="AK167" s="111">
        <v>0.96120000000000005</v>
      </c>
      <c r="AL167" s="111">
        <v>7.6422935039161546E-2</v>
      </c>
      <c r="AM167" s="111">
        <v>0.55623667463310333</v>
      </c>
      <c r="AN167" s="111">
        <v>9.8493430900010059E-2</v>
      </c>
      <c r="AO167" s="108">
        <v>1006</v>
      </c>
      <c r="AP167" s="108">
        <v>62.289646009589745</v>
      </c>
      <c r="AQ167" s="108">
        <v>1206</v>
      </c>
      <c r="AR167" s="108">
        <v>103.3440854621105</v>
      </c>
      <c r="AS167" s="108">
        <v>1360</v>
      </c>
      <c r="AT167" s="108">
        <v>184.79718612576329</v>
      </c>
      <c r="AU167" s="108">
        <v>3240</v>
      </c>
      <c r="AV167" s="108">
        <v>336.15472627943223</v>
      </c>
      <c r="AW167" s="50">
        <v>1.6377886296075226</v>
      </c>
      <c r="AX167" s="21">
        <v>3.1094388258112549</v>
      </c>
      <c r="AY167" s="51">
        <v>0.96696720000000003</v>
      </c>
      <c r="AZ167" s="51">
        <v>0.67082142960752267</v>
      </c>
      <c r="BA167" s="51">
        <v>1.3072320000000002</v>
      </c>
      <c r="BB167" s="51">
        <v>1.8022068258112549</v>
      </c>
      <c r="BC167" s="52">
        <v>0.69373752243873699</v>
      </c>
      <c r="BD167" s="51">
        <v>1.378643443406568</v>
      </c>
      <c r="BE167" s="21">
        <f t="shared" si="18"/>
        <v>0.57868984044226313</v>
      </c>
      <c r="BF167" s="23">
        <v>7.7634754078392003</v>
      </c>
      <c r="BG167" s="112">
        <v>1.6824188690356323</v>
      </c>
      <c r="BH167" s="113">
        <v>2.3051564583203783</v>
      </c>
      <c r="BN167" s="44">
        <v>38800</v>
      </c>
      <c r="BO167" s="44">
        <v>30000</v>
      </c>
      <c r="BP167" s="44">
        <v>12160</v>
      </c>
      <c r="BQ167" s="44">
        <v>2380</v>
      </c>
      <c r="BR167" s="45">
        <v>16.93646794626186</v>
      </c>
      <c r="BS167" s="45">
        <v>20.184282150455854</v>
      </c>
      <c r="BT167" s="44">
        <v>240</v>
      </c>
      <c r="BU167" s="43">
        <v>105.26190037176454</v>
      </c>
      <c r="BV167" s="44">
        <v>7840</v>
      </c>
      <c r="BW167" s="44">
        <v>3920</v>
      </c>
    </row>
    <row r="168" spans="1:75" s="15" customFormat="1">
      <c r="A168" s="13" t="s">
        <v>220</v>
      </c>
      <c r="B168" s="14" t="s">
        <v>99</v>
      </c>
      <c r="C168" s="14" t="s">
        <v>35</v>
      </c>
      <c r="D168" s="14" t="s">
        <v>36</v>
      </c>
      <c r="E168" s="14">
        <v>63</v>
      </c>
      <c r="F168" s="16"/>
      <c r="G168" s="14"/>
      <c r="H168" s="14"/>
      <c r="I168" s="14"/>
      <c r="J168" s="19" t="s">
        <v>47</v>
      </c>
      <c r="K168" s="46">
        <v>5.7</v>
      </c>
      <c r="L168" s="15">
        <v>1.4850000000000001</v>
      </c>
      <c r="M168" s="15" t="s">
        <v>283</v>
      </c>
      <c r="N168" s="114">
        <v>15</v>
      </c>
      <c r="O168" s="15">
        <v>10.167999999999999</v>
      </c>
      <c r="P168" s="15" t="s">
        <v>42</v>
      </c>
      <c r="Q168" s="15" t="s">
        <v>42</v>
      </c>
      <c r="R168" s="107">
        <v>98</v>
      </c>
      <c r="S168" s="107">
        <v>98</v>
      </c>
      <c r="T168" s="14" t="s">
        <v>43</v>
      </c>
      <c r="U168" s="14">
        <v>75</v>
      </c>
      <c r="V168" s="14" t="s">
        <v>44</v>
      </c>
      <c r="W168" s="14">
        <v>15</v>
      </c>
      <c r="X168" s="14" t="s">
        <v>44</v>
      </c>
      <c r="Y168" s="14" t="s">
        <v>42</v>
      </c>
      <c r="Z168" s="15" t="s">
        <v>45</v>
      </c>
      <c r="AA168" s="15">
        <v>100</v>
      </c>
      <c r="AB168" s="15" t="s">
        <v>44</v>
      </c>
      <c r="AC168" s="107">
        <v>98</v>
      </c>
      <c r="AD168" s="107" t="s">
        <v>44</v>
      </c>
      <c r="AE168" s="107"/>
      <c r="AF168" s="108">
        <v>5.4</v>
      </c>
      <c r="AG168" s="109">
        <v>0.89442638300064525</v>
      </c>
      <c r="AH168" s="109">
        <v>5</v>
      </c>
      <c r="AI168" s="110">
        <f t="shared" si="16"/>
        <v>0.83933293828937394</v>
      </c>
      <c r="AJ168" s="24">
        <f t="shared" si="17"/>
        <v>8.3933293828937397E-4</v>
      </c>
      <c r="AK168" s="111">
        <v>0.51378000000000001</v>
      </c>
      <c r="AL168" s="111">
        <v>0.119359193194324</v>
      </c>
      <c r="AM168" s="111">
        <v>0.32555293828937387</v>
      </c>
      <c r="AN168" s="111">
        <v>6.73346270473347E-2</v>
      </c>
      <c r="AO168" s="108">
        <v>992</v>
      </c>
      <c r="AP168" s="108">
        <v>30.331501776206203</v>
      </c>
      <c r="AQ168" s="108">
        <v>1200</v>
      </c>
      <c r="AR168" s="108">
        <v>149.16433890176299</v>
      </c>
      <c r="AS168" s="108">
        <v>2520</v>
      </c>
      <c r="AT168" s="108">
        <v>303.31501776206204</v>
      </c>
      <c r="AU168" s="108">
        <v>4120</v>
      </c>
      <c r="AV168" s="108">
        <v>501.9960159204453</v>
      </c>
      <c r="AW168" s="50">
        <v>0.90033328594724882</v>
      </c>
      <c r="AX168" s="21">
        <v>2.6360037057522203</v>
      </c>
      <c r="AY168" s="51">
        <v>0.50966976000000008</v>
      </c>
      <c r="AZ168" s="51">
        <v>0.39066352594724868</v>
      </c>
      <c r="BA168" s="51">
        <v>1.2947256</v>
      </c>
      <c r="BB168" s="51">
        <v>1.3412781057522203</v>
      </c>
      <c r="BC168" s="52">
        <v>0.76650324701871386</v>
      </c>
      <c r="BD168" s="51">
        <v>1.0359554995685729</v>
      </c>
      <c r="BE168" s="21">
        <f t="shared" si="18"/>
        <v>0.63364268420213687</v>
      </c>
      <c r="BF168" s="23">
        <v>-19.512938883439048</v>
      </c>
      <c r="BG168" s="112">
        <v>-17.668386509334059</v>
      </c>
      <c r="BH168" s="113">
        <v>-17.38973205000714</v>
      </c>
      <c r="BN168" s="44">
        <v>37400</v>
      </c>
      <c r="BO168" s="44">
        <v>31600</v>
      </c>
      <c r="BP168" s="44">
        <v>16720</v>
      </c>
      <c r="BQ168" s="44">
        <v>3340</v>
      </c>
      <c r="BR168" s="45">
        <v>22.375369578844584</v>
      </c>
      <c r="BS168" s="45">
        <v>20.474245848441424</v>
      </c>
      <c r="BT168" s="44">
        <v>326</v>
      </c>
      <c r="BU168" s="43">
        <v>113.89700842743325</v>
      </c>
      <c r="BV168" s="44">
        <v>11260</v>
      </c>
      <c r="BW168" s="44">
        <v>4320</v>
      </c>
    </row>
    <row r="169" spans="1:75" s="15" customFormat="1">
      <c r="A169" s="13" t="s">
        <v>220</v>
      </c>
      <c r="B169" s="14" t="s">
        <v>99</v>
      </c>
      <c r="C169" s="14" t="s">
        <v>38</v>
      </c>
      <c r="D169" s="14" t="s">
        <v>36</v>
      </c>
      <c r="E169" s="14">
        <v>63</v>
      </c>
      <c r="F169" s="16"/>
      <c r="G169" s="14"/>
      <c r="H169" s="14"/>
      <c r="I169" s="14"/>
      <c r="J169" s="102" t="s">
        <v>47</v>
      </c>
      <c r="K169" s="46">
        <v>5.7</v>
      </c>
      <c r="L169" s="15">
        <v>1.4850000000000001</v>
      </c>
      <c r="M169" s="15" t="s">
        <v>283</v>
      </c>
      <c r="N169" s="114">
        <v>8</v>
      </c>
      <c r="O169" s="15">
        <v>10.167999999999999</v>
      </c>
      <c r="P169" s="15" t="s">
        <v>42</v>
      </c>
      <c r="Q169" s="15" t="s">
        <v>42</v>
      </c>
      <c r="R169" s="107">
        <v>1</v>
      </c>
      <c r="S169" s="107">
        <v>1</v>
      </c>
      <c r="T169" s="14" t="s">
        <v>43</v>
      </c>
      <c r="U169" s="14">
        <v>20</v>
      </c>
      <c r="V169" s="14" t="s">
        <v>44</v>
      </c>
      <c r="W169" s="14">
        <v>8</v>
      </c>
      <c r="X169" s="14" t="s">
        <v>44</v>
      </c>
      <c r="Y169" s="14" t="s">
        <v>42</v>
      </c>
      <c r="Z169" s="15" t="s">
        <v>45</v>
      </c>
      <c r="AA169" s="15">
        <v>0</v>
      </c>
      <c r="AB169" s="15" t="s">
        <v>44</v>
      </c>
      <c r="AC169" s="107">
        <v>1</v>
      </c>
      <c r="AD169" s="107" t="s">
        <v>44</v>
      </c>
      <c r="AE169" s="107"/>
      <c r="AF169" s="108">
        <v>0.8</v>
      </c>
      <c r="AG169" s="108">
        <v>0.83666002653407556</v>
      </c>
      <c r="AH169" s="109">
        <v>5</v>
      </c>
      <c r="AI169" s="110">
        <f t="shared" si="16"/>
        <v>0.33343766705932948</v>
      </c>
      <c r="AJ169" s="24">
        <f t="shared" si="17"/>
        <v>3.334376670593295E-4</v>
      </c>
      <c r="AK169" s="111">
        <v>0.21459999999999999</v>
      </c>
      <c r="AL169" s="111">
        <v>3.6315905606221721E-2</v>
      </c>
      <c r="AM169" s="111">
        <v>0.11883766705932948</v>
      </c>
      <c r="AN169" s="111">
        <v>1.9057775456514877E-2</v>
      </c>
      <c r="AO169" s="108">
        <v>584</v>
      </c>
      <c r="AP169" s="108">
        <v>65.80273550544841</v>
      </c>
      <c r="AQ169" s="108">
        <v>714</v>
      </c>
      <c r="AR169" s="108">
        <v>93.968079686668062</v>
      </c>
      <c r="AS169" s="108">
        <v>104.58899234346354</v>
      </c>
      <c r="AT169" s="108">
        <v>25.518544031212247</v>
      </c>
      <c r="AU169" s="108">
        <v>126.12871685772453</v>
      </c>
      <c r="AV169" s="108">
        <v>59.249706974790769</v>
      </c>
      <c r="AW169" s="50">
        <v>0.21017649428036125</v>
      </c>
      <c r="AX169" s="21">
        <v>3.743364021746598E-2</v>
      </c>
      <c r="AY169" s="51">
        <v>0.1253264</v>
      </c>
      <c r="AZ169" s="51">
        <v>8.4850094280361249E-2</v>
      </c>
      <c r="BA169" s="51">
        <v>2.2444797756907275E-2</v>
      </c>
      <c r="BB169" s="51">
        <v>1.4988842460558706E-2</v>
      </c>
      <c r="BC169" s="52">
        <v>0.67703288597104239</v>
      </c>
      <c r="BD169" s="51">
        <v>0.66780920117428832</v>
      </c>
      <c r="BE169" s="21">
        <f t="shared" si="18"/>
        <v>0.55376359300712719</v>
      </c>
      <c r="BF169" s="23"/>
      <c r="BN169" s="115">
        <v>28000</v>
      </c>
      <c r="BO169" s="44">
        <v>26600</v>
      </c>
      <c r="BP169" s="44">
        <v>15580</v>
      </c>
      <c r="BQ169" s="44">
        <v>2038</v>
      </c>
      <c r="BR169" s="45">
        <v>22.415943495751186</v>
      </c>
      <c r="BS169" s="45">
        <v>19.155746239355487</v>
      </c>
      <c r="BT169" s="44">
        <v>736</v>
      </c>
      <c r="BU169" s="43">
        <v>161.45435212607862</v>
      </c>
      <c r="BV169" s="44">
        <v>25400</v>
      </c>
      <c r="BW169" s="44">
        <v>3520</v>
      </c>
    </row>
    <row r="170" spans="1:75" s="15" customFormat="1">
      <c r="A170" s="13" t="s">
        <v>220</v>
      </c>
      <c r="B170" s="14" t="s">
        <v>99</v>
      </c>
      <c r="C170" s="14" t="s">
        <v>38</v>
      </c>
      <c r="D170" s="14" t="s">
        <v>36</v>
      </c>
      <c r="E170" s="14">
        <v>63</v>
      </c>
      <c r="F170" s="16"/>
      <c r="G170" s="14"/>
      <c r="H170" s="14"/>
      <c r="I170" s="14"/>
      <c r="J170" s="19" t="s">
        <v>47</v>
      </c>
      <c r="K170" s="46">
        <v>5.7</v>
      </c>
      <c r="L170" s="15">
        <v>1.4850000000000001</v>
      </c>
      <c r="M170" s="15" t="s">
        <v>283</v>
      </c>
      <c r="N170" s="114">
        <v>8</v>
      </c>
      <c r="O170" s="15">
        <v>10.167999999999999</v>
      </c>
      <c r="P170" s="15" t="s">
        <v>42</v>
      </c>
      <c r="Q170" s="15" t="s">
        <v>42</v>
      </c>
      <c r="R170" s="107">
        <v>23</v>
      </c>
      <c r="S170" s="107">
        <v>23</v>
      </c>
      <c r="T170" s="14" t="s">
        <v>43</v>
      </c>
      <c r="U170" s="14">
        <v>20</v>
      </c>
      <c r="V170" s="14" t="s">
        <v>44</v>
      </c>
      <c r="W170" s="14">
        <v>8</v>
      </c>
      <c r="X170" s="14" t="s">
        <v>44</v>
      </c>
      <c r="Y170" s="14" t="s">
        <v>42</v>
      </c>
      <c r="Z170" s="15" t="s">
        <v>45</v>
      </c>
      <c r="AA170" s="15">
        <v>25</v>
      </c>
      <c r="AB170" s="15" t="s">
        <v>44</v>
      </c>
      <c r="AC170" s="107">
        <v>23</v>
      </c>
      <c r="AD170" s="107" t="s">
        <v>44</v>
      </c>
      <c r="AE170" s="107"/>
      <c r="AF170" s="108">
        <v>0.4</v>
      </c>
      <c r="AG170" s="108">
        <v>0.54772255750516607</v>
      </c>
      <c r="AH170" s="109">
        <v>5</v>
      </c>
      <c r="AI170" s="110">
        <f t="shared" si="16"/>
        <v>0.38465439620227376</v>
      </c>
      <c r="AJ170" s="24">
        <f t="shared" si="17"/>
        <v>3.8465439620227374E-4</v>
      </c>
      <c r="AK170" s="111">
        <v>0.25063999999999997</v>
      </c>
      <c r="AL170" s="111">
        <v>7.8687025614138081E-2</v>
      </c>
      <c r="AM170" s="111">
        <v>0.13401439620227379</v>
      </c>
      <c r="AN170" s="111">
        <v>2.9326046277523676E-2</v>
      </c>
      <c r="AO170" s="108">
        <v>638</v>
      </c>
      <c r="AP170" s="108">
        <v>61.806148561449774</v>
      </c>
      <c r="AQ170" s="108">
        <v>712</v>
      </c>
      <c r="AR170" s="108">
        <v>57.18391382198319</v>
      </c>
      <c r="AS170" s="108">
        <v>820</v>
      </c>
      <c r="AT170" s="108">
        <v>125.89678312014172</v>
      </c>
      <c r="AU170" s="108">
        <v>1894</v>
      </c>
      <c r="AV170" s="108">
        <v>374.27262790645005</v>
      </c>
      <c r="AW170" s="50">
        <v>0.25532657009601895</v>
      </c>
      <c r="AX170" s="21">
        <v>0.45934806640710657</v>
      </c>
      <c r="AY170" s="51">
        <v>0.15990831999999999</v>
      </c>
      <c r="AZ170" s="51">
        <v>9.5418250096018939E-2</v>
      </c>
      <c r="BA170" s="51">
        <v>0.20552480000000001</v>
      </c>
      <c r="BB170" s="51">
        <v>0.25382326640710656</v>
      </c>
      <c r="BC170" s="52">
        <v>0.59670597562415106</v>
      </c>
      <c r="BD170" s="51">
        <v>1.2350006734326298</v>
      </c>
      <c r="BE170" s="21">
        <f t="shared" si="18"/>
        <v>0.53468878152838251</v>
      </c>
      <c r="BF170" s="23"/>
      <c r="BN170" s="115">
        <v>28400</v>
      </c>
      <c r="BO170" s="44">
        <v>28000</v>
      </c>
      <c r="BP170" s="44">
        <v>18000</v>
      </c>
      <c r="BQ170" s="44">
        <v>2052</v>
      </c>
      <c r="BR170" s="45">
        <v>31.659926028109027</v>
      </c>
      <c r="BS170" s="45">
        <v>16.80309670935198</v>
      </c>
      <c r="BT170" s="44">
        <v>804</v>
      </c>
      <c r="BU170" s="43">
        <v>131.63615692407316</v>
      </c>
      <c r="BV170" s="44">
        <v>25800</v>
      </c>
      <c r="BW170" s="44">
        <v>3700</v>
      </c>
    </row>
    <row r="171" spans="1:75" s="15" customFormat="1">
      <c r="A171" s="13" t="s">
        <v>220</v>
      </c>
      <c r="B171" s="14" t="s">
        <v>99</v>
      </c>
      <c r="C171" s="14" t="s">
        <v>38</v>
      </c>
      <c r="D171" s="14" t="s">
        <v>36</v>
      </c>
      <c r="E171" s="14">
        <v>63</v>
      </c>
      <c r="F171" s="16"/>
      <c r="G171" s="14"/>
      <c r="H171" s="14"/>
      <c r="I171" s="14"/>
      <c r="J171" s="102" t="s">
        <v>47</v>
      </c>
      <c r="K171" s="46">
        <v>5.7</v>
      </c>
      <c r="L171" s="15">
        <v>1.4850000000000001</v>
      </c>
      <c r="M171" s="15" t="s">
        <v>283</v>
      </c>
      <c r="N171" s="114">
        <v>8</v>
      </c>
      <c r="O171" s="15">
        <v>10.167999999999999</v>
      </c>
      <c r="P171" s="15" t="s">
        <v>42</v>
      </c>
      <c r="Q171" s="15" t="s">
        <v>42</v>
      </c>
      <c r="R171" s="107">
        <v>48</v>
      </c>
      <c r="S171" s="107">
        <v>48</v>
      </c>
      <c r="T171" s="14" t="s">
        <v>43</v>
      </c>
      <c r="U171" s="14">
        <v>20</v>
      </c>
      <c r="V171" s="14" t="s">
        <v>44</v>
      </c>
      <c r="W171" s="14">
        <v>8</v>
      </c>
      <c r="X171" s="14" t="s">
        <v>44</v>
      </c>
      <c r="Y171" s="14" t="s">
        <v>42</v>
      </c>
      <c r="Z171" s="15" t="s">
        <v>45</v>
      </c>
      <c r="AA171" s="15">
        <v>50</v>
      </c>
      <c r="AB171" s="15" t="s">
        <v>44</v>
      </c>
      <c r="AC171" s="107">
        <v>48</v>
      </c>
      <c r="AD171" s="107" t="s">
        <v>44</v>
      </c>
      <c r="AE171" s="107"/>
      <c r="AF171" s="108">
        <v>0.4</v>
      </c>
      <c r="AG171" s="108">
        <v>0.54772255750516607</v>
      </c>
      <c r="AH171" s="109">
        <v>5</v>
      </c>
      <c r="AI171" s="110">
        <f t="shared" si="16"/>
        <v>0.1870914306727755</v>
      </c>
      <c r="AJ171" s="24">
        <f t="shared" si="17"/>
        <v>1.8709143067277551E-4</v>
      </c>
      <c r="AK171" s="111">
        <v>0.11807999999999999</v>
      </c>
      <c r="AL171" s="111">
        <v>4.6141488922660526E-2</v>
      </c>
      <c r="AM171" s="111">
        <v>6.9011430672775514E-2</v>
      </c>
      <c r="AN171" s="111">
        <v>2.4834793428363536E-2</v>
      </c>
      <c r="AO171" s="108">
        <v>648</v>
      </c>
      <c r="AP171" s="108">
        <v>65.726706900619931</v>
      </c>
      <c r="AQ171" s="108">
        <v>832</v>
      </c>
      <c r="AR171" s="108">
        <v>88.713020464867498</v>
      </c>
      <c r="AS171" s="108">
        <v>1966</v>
      </c>
      <c r="AT171" s="108">
        <v>199.19839356781972</v>
      </c>
      <c r="AU171" s="108">
        <v>4820</v>
      </c>
      <c r="AV171" s="108">
        <v>580.51701094799967</v>
      </c>
      <c r="AW171" s="50">
        <v>0.13393335031974923</v>
      </c>
      <c r="AX171" s="21">
        <v>0.56478037584277796</v>
      </c>
      <c r="AY171" s="51">
        <v>7.6515840000000002E-2</v>
      </c>
      <c r="AZ171" s="51">
        <v>5.7417510319749225E-2</v>
      </c>
      <c r="BA171" s="51">
        <v>0.23214527999999998</v>
      </c>
      <c r="BB171" s="51">
        <v>0.33263509584277795</v>
      </c>
      <c r="BC171" s="52">
        <v>0.75040031344815949</v>
      </c>
      <c r="BD171" s="51">
        <v>1.4328746888275221</v>
      </c>
      <c r="BE171" s="21">
        <f t="shared" si="18"/>
        <v>0.5844463979740474</v>
      </c>
      <c r="BF171" s="23"/>
      <c r="BN171" s="115">
        <v>25200</v>
      </c>
      <c r="BO171" s="44">
        <v>31600</v>
      </c>
      <c r="BP171" s="44">
        <v>20740</v>
      </c>
      <c r="BQ171" s="44">
        <v>2224</v>
      </c>
      <c r="BR171" s="45">
        <v>40.52721460039858</v>
      </c>
      <c r="BS171" s="45">
        <v>24.470511428009495</v>
      </c>
      <c r="BT171" s="44">
        <v>800</v>
      </c>
      <c r="BU171" s="43">
        <v>137.43657312740385</v>
      </c>
      <c r="BV171" s="44">
        <v>26600</v>
      </c>
      <c r="BW171" s="44">
        <v>3800</v>
      </c>
    </row>
    <row r="172" spans="1:75" s="15" customFormat="1">
      <c r="A172" s="13" t="s">
        <v>220</v>
      </c>
      <c r="B172" s="14" t="s">
        <v>99</v>
      </c>
      <c r="C172" s="14" t="s">
        <v>38</v>
      </c>
      <c r="D172" s="14" t="s">
        <v>36</v>
      </c>
      <c r="E172" s="14">
        <v>63</v>
      </c>
      <c r="F172" s="16"/>
      <c r="G172" s="14"/>
      <c r="H172" s="14"/>
      <c r="I172" s="14"/>
      <c r="J172" s="19" t="s">
        <v>47</v>
      </c>
      <c r="K172" s="46">
        <v>5.7</v>
      </c>
      <c r="L172" s="15">
        <v>1.4850000000000001</v>
      </c>
      <c r="M172" s="15" t="s">
        <v>283</v>
      </c>
      <c r="N172" s="114">
        <v>8</v>
      </c>
      <c r="O172" s="15">
        <v>10.167999999999999</v>
      </c>
      <c r="P172" s="15" t="s">
        <v>42</v>
      </c>
      <c r="Q172" s="15" t="s">
        <v>42</v>
      </c>
      <c r="R172" s="107">
        <v>74</v>
      </c>
      <c r="S172" s="107">
        <v>74</v>
      </c>
      <c r="T172" s="14" t="s">
        <v>43</v>
      </c>
      <c r="U172" s="14">
        <v>20</v>
      </c>
      <c r="V172" s="14" t="s">
        <v>44</v>
      </c>
      <c r="W172" s="14">
        <v>8</v>
      </c>
      <c r="X172" s="14" t="s">
        <v>44</v>
      </c>
      <c r="Y172" s="14" t="s">
        <v>42</v>
      </c>
      <c r="Z172" s="15" t="s">
        <v>45</v>
      </c>
      <c r="AA172" s="15">
        <v>75</v>
      </c>
      <c r="AB172" s="15" t="s">
        <v>44</v>
      </c>
      <c r="AC172" s="107">
        <v>74</v>
      </c>
      <c r="AD172" s="107" t="s">
        <v>44</v>
      </c>
      <c r="AE172" s="107"/>
      <c r="AF172" s="108">
        <v>0.8</v>
      </c>
      <c r="AG172" s="108">
        <v>0.83666002653407556</v>
      </c>
      <c r="AH172" s="109">
        <v>5</v>
      </c>
      <c r="AI172" s="110">
        <f t="shared" si="16"/>
        <v>0.11528055109187488</v>
      </c>
      <c r="AJ172" s="24">
        <f t="shared" si="17"/>
        <v>1.1528055109187487E-4</v>
      </c>
      <c r="AK172" s="111">
        <v>6.5720000000000001E-2</v>
      </c>
      <c r="AL172" s="111">
        <v>9.1682604675041475E-3</v>
      </c>
      <c r="AM172" s="111">
        <v>4.9560551091874877E-2</v>
      </c>
      <c r="AN172" s="111">
        <v>9.1227843515806969E-3</v>
      </c>
      <c r="AO172" s="108">
        <v>638</v>
      </c>
      <c r="AP172" s="108">
        <v>34.928498393145958</v>
      </c>
      <c r="AQ172" s="108">
        <v>848</v>
      </c>
      <c r="AR172" s="108">
        <v>29.49576240750525</v>
      </c>
      <c r="AS172" s="108">
        <v>3640</v>
      </c>
      <c r="AT172" s="108">
        <v>409.87803063838396</v>
      </c>
      <c r="AU172" s="108">
        <v>7340</v>
      </c>
      <c r="AV172" s="108">
        <v>433.58966777357597</v>
      </c>
      <c r="AW172" s="50">
        <v>8.3956707325909902E-2</v>
      </c>
      <c r="AX172" s="21">
        <v>0.60299524501436164</v>
      </c>
      <c r="AY172" s="51">
        <v>4.1929359999999999E-2</v>
      </c>
      <c r="AZ172" s="51">
        <v>4.2027347325909896E-2</v>
      </c>
      <c r="BA172" s="51">
        <v>0.23922080000000001</v>
      </c>
      <c r="BB172" s="51">
        <v>0.36377444501436162</v>
      </c>
      <c r="BC172" s="52">
        <v>1.0023369621169962</v>
      </c>
      <c r="BD172" s="51">
        <v>1.5206639431619726</v>
      </c>
      <c r="BE172" s="21">
        <f t="shared" si="18"/>
        <v>0.75411672385689099</v>
      </c>
      <c r="BF172" s="23"/>
      <c r="BN172" s="115">
        <v>23640</v>
      </c>
      <c r="BO172" s="44">
        <v>30400</v>
      </c>
      <c r="BP172" s="44">
        <v>21600</v>
      </c>
      <c r="BQ172" s="44">
        <v>2200</v>
      </c>
      <c r="BR172" s="45">
        <v>39.467189258695861</v>
      </c>
      <c r="BS172" s="45">
        <v>34.441579655300202</v>
      </c>
      <c r="BT172" s="44">
        <v>772</v>
      </c>
      <c r="BU172" s="43">
        <v>154.32922489334061</v>
      </c>
      <c r="BV172" s="44">
        <v>26400</v>
      </c>
      <c r="BW172" s="44">
        <v>3820</v>
      </c>
    </row>
    <row r="173" spans="1:75" s="15" customFormat="1">
      <c r="A173" s="13" t="s">
        <v>220</v>
      </c>
      <c r="B173" s="14" t="s">
        <v>99</v>
      </c>
      <c r="C173" s="14" t="s">
        <v>38</v>
      </c>
      <c r="D173" s="14" t="s">
        <v>36</v>
      </c>
      <c r="E173" s="14">
        <v>63</v>
      </c>
      <c r="F173" s="16"/>
      <c r="G173" s="14"/>
      <c r="H173" s="14"/>
      <c r="I173" s="14"/>
      <c r="J173" s="102" t="s">
        <v>47</v>
      </c>
      <c r="K173" s="46">
        <v>5.7</v>
      </c>
      <c r="L173" s="15">
        <v>1.4850000000000001</v>
      </c>
      <c r="M173" s="15" t="s">
        <v>283</v>
      </c>
      <c r="N173" s="114">
        <v>8</v>
      </c>
      <c r="O173" s="15">
        <v>10.167999999999999</v>
      </c>
      <c r="P173" s="15" t="s">
        <v>42</v>
      </c>
      <c r="Q173" s="15" t="s">
        <v>42</v>
      </c>
      <c r="R173" s="107">
        <v>98</v>
      </c>
      <c r="S173" s="107">
        <v>98</v>
      </c>
      <c r="T173" s="14" t="s">
        <v>43</v>
      </c>
      <c r="U173" s="14">
        <v>20</v>
      </c>
      <c r="V173" s="14" t="s">
        <v>44</v>
      </c>
      <c r="W173" s="14">
        <v>8</v>
      </c>
      <c r="X173" s="14" t="s">
        <v>44</v>
      </c>
      <c r="Y173" s="14" t="s">
        <v>42</v>
      </c>
      <c r="Z173" s="15" t="s">
        <v>45</v>
      </c>
      <c r="AA173" s="15">
        <v>100</v>
      </c>
      <c r="AB173" s="15" t="s">
        <v>44</v>
      </c>
      <c r="AC173" s="107">
        <v>98</v>
      </c>
      <c r="AD173" s="107" t="s">
        <v>44</v>
      </c>
      <c r="AE173" s="107"/>
      <c r="AF173" s="108">
        <v>0.6</v>
      </c>
      <c r="AG173" s="108">
        <v>0.89442719099991586</v>
      </c>
      <c r="AH173" s="109">
        <v>5</v>
      </c>
      <c r="AI173" s="110">
        <f t="shared" si="16"/>
        <v>5.5549333333333326E-2</v>
      </c>
      <c r="AJ173" s="24">
        <f t="shared" si="17"/>
        <v>5.5549333333333327E-5</v>
      </c>
      <c r="AK173" s="111">
        <v>3.0040000000000001E-2</v>
      </c>
      <c r="AL173" s="111">
        <v>5.1901830410882432E-3</v>
      </c>
      <c r="AM173" s="111">
        <v>2.5509333333333328E-2</v>
      </c>
      <c r="AN173" s="111">
        <v>4.2089444440778128E-3</v>
      </c>
      <c r="AO173" s="108">
        <v>646</v>
      </c>
      <c r="AP173" s="108">
        <v>63.874877690685246</v>
      </c>
      <c r="AQ173" s="108">
        <v>748</v>
      </c>
      <c r="AR173" s="108">
        <v>113.44602240713422</v>
      </c>
      <c r="AS173" s="108">
        <v>4960</v>
      </c>
      <c r="AT173" s="108">
        <v>450.55521304275237</v>
      </c>
      <c r="AU173" s="108">
        <v>7800</v>
      </c>
      <c r="AV173" s="108">
        <v>880.34084308295041</v>
      </c>
      <c r="AW173" s="50">
        <v>3.8486821333333331E-2</v>
      </c>
      <c r="AX173" s="21">
        <v>0.34797119999999998</v>
      </c>
      <c r="AY173" s="51">
        <v>1.9405840000000001E-2</v>
      </c>
      <c r="AZ173" s="51">
        <v>1.908098133333333E-2</v>
      </c>
      <c r="BA173" s="51">
        <v>0.1489984</v>
      </c>
      <c r="BB173" s="51">
        <v>0.19897279999999998</v>
      </c>
      <c r="BC173" s="52">
        <v>0.98325974723760112</v>
      </c>
      <c r="BD173" s="51">
        <v>1.3354022593531203</v>
      </c>
      <c r="BE173" s="21">
        <f t="shared" si="18"/>
        <v>0.84917887261429181</v>
      </c>
      <c r="BF173" s="23"/>
      <c r="BN173" s="115">
        <v>24000</v>
      </c>
      <c r="BO173" s="44">
        <v>30000</v>
      </c>
      <c r="BP173" s="44">
        <v>21440</v>
      </c>
      <c r="BQ173" s="44">
        <v>2740</v>
      </c>
      <c r="BR173" s="45">
        <v>38.833855469581565</v>
      </c>
      <c r="BS173" s="45">
        <v>32.302232274986807</v>
      </c>
      <c r="BT173" s="44">
        <v>826</v>
      </c>
      <c r="BU173" s="43">
        <v>178.12182613442823</v>
      </c>
      <c r="BV173" s="44">
        <v>26200</v>
      </c>
      <c r="BW173" s="44">
        <v>3740</v>
      </c>
    </row>
    <row r="174" spans="1:75" s="15" customFormat="1">
      <c r="A174" s="13" t="s">
        <v>220</v>
      </c>
      <c r="B174" s="14" t="s">
        <v>99</v>
      </c>
      <c r="C174" s="14" t="s">
        <v>38</v>
      </c>
      <c r="D174" s="14" t="s">
        <v>36</v>
      </c>
      <c r="E174" s="14">
        <v>63</v>
      </c>
      <c r="F174" s="16"/>
      <c r="G174" s="14"/>
      <c r="H174" s="14"/>
      <c r="I174" s="14"/>
      <c r="J174" s="19" t="s">
        <v>47</v>
      </c>
      <c r="K174" s="46">
        <v>5.7</v>
      </c>
      <c r="L174" s="15">
        <v>1.4850000000000001</v>
      </c>
      <c r="M174" s="15" t="s">
        <v>283</v>
      </c>
      <c r="N174" s="114">
        <v>15</v>
      </c>
      <c r="O174" s="15">
        <v>10.167999999999999</v>
      </c>
      <c r="P174" s="15" t="s">
        <v>42</v>
      </c>
      <c r="Q174" s="15" t="s">
        <v>42</v>
      </c>
      <c r="R174" s="107">
        <v>1</v>
      </c>
      <c r="S174" s="107">
        <v>1</v>
      </c>
      <c r="T174" s="14" t="s">
        <v>43</v>
      </c>
      <c r="U174" s="14">
        <v>75</v>
      </c>
      <c r="V174" s="14" t="s">
        <v>44</v>
      </c>
      <c r="W174" s="14">
        <v>15</v>
      </c>
      <c r="X174" s="14" t="s">
        <v>44</v>
      </c>
      <c r="Y174" s="14" t="s">
        <v>42</v>
      </c>
      <c r="Z174" s="15" t="s">
        <v>45</v>
      </c>
      <c r="AA174" s="15">
        <v>0</v>
      </c>
      <c r="AB174" s="15" t="s">
        <v>44</v>
      </c>
      <c r="AC174" s="107">
        <v>1</v>
      </c>
      <c r="AD174" s="107" t="s">
        <v>44</v>
      </c>
      <c r="AE174" s="107"/>
      <c r="AF174" s="108">
        <v>1</v>
      </c>
      <c r="AG174" s="108">
        <v>0.70710678118654757</v>
      </c>
      <c r="AH174" s="109">
        <v>5</v>
      </c>
      <c r="AI174" s="110">
        <f t="shared" si="16"/>
        <v>1.8450908880608607</v>
      </c>
      <c r="AJ174" s="24">
        <f t="shared" si="17"/>
        <v>1.8450908880608607E-3</v>
      </c>
      <c r="AK174" s="111">
        <v>1.18228</v>
      </c>
      <c r="AL174" s="111">
        <v>0.1659686928309077</v>
      </c>
      <c r="AM174" s="111">
        <v>0.66281088806086075</v>
      </c>
      <c r="AN174" s="111">
        <v>9.1074929753859918E-2</v>
      </c>
      <c r="AO174" s="108">
        <v>1090</v>
      </c>
      <c r="AP174" s="108">
        <v>196.34153916071861</v>
      </c>
      <c r="AQ174" s="108">
        <v>1096</v>
      </c>
      <c r="AR174" s="108">
        <v>114.80418110852932</v>
      </c>
      <c r="AS174" s="108">
        <v>40.728454919912068</v>
      </c>
      <c r="AT174" s="108">
        <v>5.1568333898407834</v>
      </c>
      <c r="AU174" s="108">
        <v>52.620839879750726</v>
      </c>
      <c r="AV174" s="108">
        <v>7.6212084113144885</v>
      </c>
      <c r="AW174" s="50">
        <v>2.0151259333147031</v>
      </c>
      <c r="AX174" s="21">
        <v>8.3030103293919577E-2</v>
      </c>
      <c r="AY174" s="51">
        <v>1.2886852</v>
      </c>
      <c r="AZ174" s="51">
        <v>0.72644073331470338</v>
      </c>
      <c r="BA174" s="51">
        <v>4.8152437682713635E-2</v>
      </c>
      <c r="BB174" s="51">
        <v>3.4877665611205935E-2</v>
      </c>
      <c r="BC174" s="52">
        <v>0.56370689545802455</v>
      </c>
      <c r="BD174" s="51">
        <v>0.72431775606090976</v>
      </c>
      <c r="BE174" s="21">
        <f t="shared" si="18"/>
        <v>0.56062090880405724</v>
      </c>
      <c r="BF174" s="23"/>
      <c r="BN174" s="44">
        <v>37600</v>
      </c>
      <c r="BO174" s="44">
        <v>28400</v>
      </c>
      <c r="BP174" s="44">
        <v>11920</v>
      </c>
      <c r="BQ174" s="44">
        <v>3100</v>
      </c>
      <c r="BR174" s="45">
        <v>7.5982615474181117</v>
      </c>
      <c r="BS174" s="45">
        <v>27.243344466928711</v>
      </c>
      <c r="BT174" s="44">
        <v>278</v>
      </c>
      <c r="BU174" s="43">
        <v>154.12053959729474</v>
      </c>
      <c r="BV174" s="44">
        <v>8520</v>
      </c>
      <c r="BW174" s="44">
        <v>3180</v>
      </c>
    </row>
    <row r="175" spans="1:75" s="15" customFormat="1">
      <c r="A175" s="13" t="s">
        <v>220</v>
      </c>
      <c r="B175" s="14" t="s">
        <v>99</v>
      </c>
      <c r="C175" s="14" t="s">
        <v>38</v>
      </c>
      <c r="D175" s="14" t="s">
        <v>36</v>
      </c>
      <c r="E175" s="14">
        <v>63</v>
      </c>
      <c r="F175" s="16"/>
      <c r="G175" s="14"/>
      <c r="H175" s="14"/>
      <c r="I175" s="14"/>
      <c r="J175" s="102" t="s">
        <v>47</v>
      </c>
      <c r="K175" s="46">
        <v>5.7</v>
      </c>
      <c r="L175" s="15">
        <v>1.4850000000000001</v>
      </c>
      <c r="M175" s="15" t="s">
        <v>283</v>
      </c>
      <c r="N175" s="114">
        <v>15</v>
      </c>
      <c r="O175" s="15">
        <v>10.167999999999999</v>
      </c>
      <c r="P175" s="15" t="s">
        <v>42</v>
      </c>
      <c r="Q175" s="15" t="s">
        <v>42</v>
      </c>
      <c r="R175" s="107">
        <v>23</v>
      </c>
      <c r="S175" s="107">
        <v>23</v>
      </c>
      <c r="T175" s="14" t="s">
        <v>43</v>
      </c>
      <c r="U175" s="14">
        <v>75</v>
      </c>
      <c r="V175" s="14" t="s">
        <v>44</v>
      </c>
      <c r="W175" s="14">
        <v>15</v>
      </c>
      <c r="X175" s="14" t="s">
        <v>44</v>
      </c>
      <c r="Y175" s="14" t="s">
        <v>42</v>
      </c>
      <c r="Z175" s="15" t="s">
        <v>45</v>
      </c>
      <c r="AA175" s="15">
        <v>25</v>
      </c>
      <c r="AB175" s="15" t="s">
        <v>44</v>
      </c>
      <c r="AC175" s="107">
        <v>23</v>
      </c>
      <c r="AD175" s="107" t="s">
        <v>44</v>
      </c>
      <c r="AE175" s="107"/>
      <c r="AF175" s="108">
        <v>0.8</v>
      </c>
      <c r="AG175" s="108">
        <v>0.83666002653407556</v>
      </c>
      <c r="AH175" s="109">
        <v>5</v>
      </c>
      <c r="AI175" s="110">
        <f t="shared" si="16"/>
        <v>1.470784782606875</v>
      </c>
      <c r="AJ175" s="24">
        <f t="shared" si="17"/>
        <v>1.4707847826068749E-3</v>
      </c>
      <c r="AK175" s="111">
        <v>0.98292000000000002</v>
      </c>
      <c r="AL175" s="111">
        <v>0.4089111541643245</v>
      </c>
      <c r="AM175" s="111">
        <v>0.48786478260687482</v>
      </c>
      <c r="AN175" s="111">
        <v>0.19077604519391084</v>
      </c>
      <c r="AO175" s="108">
        <v>1024</v>
      </c>
      <c r="AP175" s="108">
        <v>77.006493232713822</v>
      </c>
      <c r="AQ175" s="108">
        <v>1142</v>
      </c>
      <c r="AR175" s="108">
        <v>132.92855223765886</v>
      </c>
      <c r="AS175" s="108">
        <v>478</v>
      </c>
      <c r="AT175" s="108">
        <v>158.01898620102585</v>
      </c>
      <c r="AU175" s="108">
        <v>1176</v>
      </c>
      <c r="AV175" s="108">
        <v>295.6856438855292</v>
      </c>
      <c r="AW175" s="50">
        <v>1.5636516617370511</v>
      </c>
      <c r="AX175" s="21">
        <v>1.0435647443456848</v>
      </c>
      <c r="AY175" s="51">
        <v>1.00651008</v>
      </c>
      <c r="AZ175" s="51">
        <v>0.55714158173705108</v>
      </c>
      <c r="BA175" s="51">
        <v>0.46983575999999999</v>
      </c>
      <c r="BB175" s="51">
        <v>0.57372898434568476</v>
      </c>
      <c r="BC175" s="52">
        <v>0.55353800504119255</v>
      </c>
      <c r="BD175" s="51">
        <v>1.221126685515987</v>
      </c>
      <c r="BE175" s="21">
        <f t="shared" si="18"/>
        <v>0.49634230924884509</v>
      </c>
      <c r="BF175" s="23"/>
      <c r="BN175" s="44">
        <v>37800</v>
      </c>
      <c r="BO175" s="44">
        <v>30000</v>
      </c>
      <c r="BP175" s="44">
        <v>13300</v>
      </c>
      <c r="BQ175" s="44">
        <v>2540</v>
      </c>
      <c r="BR175" s="45">
        <v>12.977879135523665</v>
      </c>
      <c r="BS175" s="45">
        <v>22.807962125996379</v>
      </c>
      <c r="BT175" s="44">
        <v>308</v>
      </c>
      <c r="BU175" s="43">
        <v>122.57710882027781</v>
      </c>
      <c r="BV175" s="44">
        <v>9720</v>
      </c>
      <c r="BW175" s="44">
        <v>3700</v>
      </c>
    </row>
    <row r="176" spans="1:75" s="15" customFormat="1">
      <c r="A176" s="13" t="s">
        <v>220</v>
      </c>
      <c r="B176" s="14" t="s">
        <v>99</v>
      </c>
      <c r="C176" s="14" t="s">
        <v>38</v>
      </c>
      <c r="D176" s="14" t="s">
        <v>36</v>
      </c>
      <c r="E176" s="14">
        <v>63</v>
      </c>
      <c r="F176" s="16"/>
      <c r="G176" s="14"/>
      <c r="H176" s="14"/>
      <c r="I176" s="14"/>
      <c r="J176" s="19" t="s">
        <v>47</v>
      </c>
      <c r="K176" s="46">
        <v>5.7</v>
      </c>
      <c r="L176" s="15">
        <v>1.4850000000000001</v>
      </c>
      <c r="M176" s="15" t="s">
        <v>283</v>
      </c>
      <c r="N176" s="114">
        <v>15</v>
      </c>
      <c r="O176" s="15">
        <v>10.167999999999999</v>
      </c>
      <c r="P176" s="15" t="s">
        <v>42</v>
      </c>
      <c r="Q176" s="15" t="s">
        <v>42</v>
      </c>
      <c r="R176" s="107">
        <v>48</v>
      </c>
      <c r="S176" s="107">
        <v>48</v>
      </c>
      <c r="T176" s="14" t="s">
        <v>43</v>
      </c>
      <c r="U176" s="14">
        <v>75</v>
      </c>
      <c r="V176" s="14" t="s">
        <v>44</v>
      </c>
      <c r="W176" s="14">
        <v>15</v>
      </c>
      <c r="X176" s="14" t="s">
        <v>44</v>
      </c>
      <c r="Y176" s="14" t="s">
        <v>42</v>
      </c>
      <c r="Z176" s="15" t="s">
        <v>45</v>
      </c>
      <c r="AA176" s="15">
        <v>50</v>
      </c>
      <c r="AB176" s="15" t="s">
        <v>44</v>
      </c>
      <c r="AC176" s="107">
        <v>48</v>
      </c>
      <c r="AD176" s="107" t="s">
        <v>44</v>
      </c>
      <c r="AE176" s="107"/>
      <c r="AF176" s="108">
        <v>0.8</v>
      </c>
      <c r="AG176" s="108">
        <v>0.83666002653407556</v>
      </c>
      <c r="AH176" s="109">
        <v>5</v>
      </c>
      <c r="AI176" s="110">
        <f t="shared" si="16"/>
        <v>1.5620743343535306</v>
      </c>
      <c r="AJ176" s="24">
        <f t="shared" si="17"/>
        <v>1.5620743343535306E-3</v>
      </c>
      <c r="AK176" s="111">
        <v>1.00508</v>
      </c>
      <c r="AL176" s="111">
        <v>0.21414810762647371</v>
      </c>
      <c r="AM176" s="111">
        <v>0.55699433435353052</v>
      </c>
      <c r="AN176" s="111">
        <v>5.3504062850825186E-2</v>
      </c>
      <c r="AO176" s="108">
        <v>998</v>
      </c>
      <c r="AP176" s="108">
        <v>111.66915420114903</v>
      </c>
      <c r="AQ176" s="108">
        <v>1058</v>
      </c>
      <c r="AR176" s="108">
        <v>122.14745187681976</v>
      </c>
      <c r="AS176" s="108">
        <v>926</v>
      </c>
      <c r="AT176" s="108">
        <v>80.808415403347695</v>
      </c>
      <c r="AU176" s="108">
        <v>2116</v>
      </c>
      <c r="AV176" s="108">
        <v>155.82040944625965</v>
      </c>
      <c r="AW176" s="50">
        <v>1.5923698457460354</v>
      </c>
      <c r="AX176" s="21">
        <v>2.1093040914920707</v>
      </c>
      <c r="AY176" s="51">
        <v>1.00306984</v>
      </c>
      <c r="AZ176" s="51">
        <v>0.58930000574603536</v>
      </c>
      <c r="BA176" s="51">
        <v>0.93070408000000004</v>
      </c>
      <c r="BB176" s="51">
        <v>1.1786000114920707</v>
      </c>
      <c r="BC176" s="52">
        <v>0.58749648553488099</v>
      </c>
      <c r="BD176" s="51">
        <v>1.266353115688577</v>
      </c>
      <c r="BE176" s="21">
        <f t="shared" si="18"/>
        <v>0.55417910450265706</v>
      </c>
      <c r="BF176" s="23"/>
      <c r="BN176" s="44">
        <v>42200</v>
      </c>
      <c r="BO176" s="44">
        <v>30800</v>
      </c>
      <c r="BP176" s="44">
        <v>12440</v>
      </c>
      <c r="BQ176" s="44">
        <v>2540</v>
      </c>
      <c r="BR176" s="45">
        <v>13.563849916731897</v>
      </c>
      <c r="BS176" s="45">
        <v>22.974834855939463</v>
      </c>
      <c r="BT176" s="44">
        <v>286</v>
      </c>
      <c r="BU176" s="43">
        <v>119.31030900417859</v>
      </c>
      <c r="BV176" s="44">
        <v>9220</v>
      </c>
      <c r="BW176" s="44">
        <v>4120</v>
      </c>
    </row>
    <row r="177" spans="1:75" s="15" customFormat="1">
      <c r="A177" s="13" t="s">
        <v>220</v>
      </c>
      <c r="B177" s="14" t="s">
        <v>99</v>
      </c>
      <c r="C177" s="14" t="s">
        <v>38</v>
      </c>
      <c r="D177" s="14" t="s">
        <v>36</v>
      </c>
      <c r="E177" s="14">
        <v>63</v>
      </c>
      <c r="F177" s="16"/>
      <c r="G177" s="14"/>
      <c r="H177" s="14"/>
      <c r="I177" s="14"/>
      <c r="J177" s="102" t="s">
        <v>47</v>
      </c>
      <c r="K177" s="46">
        <v>5.7</v>
      </c>
      <c r="L177" s="15">
        <v>1.4850000000000001</v>
      </c>
      <c r="M177" s="15" t="s">
        <v>283</v>
      </c>
      <c r="N177" s="114">
        <v>15</v>
      </c>
      <c r="O177" s="15">
        <v>10.167999999999999</v>
      </c>
      <c r="P177" s="15" t="s">
        <v>42</v>
      </c>
      <c r="Q177" s="15" t="s">
        <v>42</v>
      </c>
      <c r="R177" s="107">
        <v>74</v>
      </c>
      <c r="S177" s="107">
        <v>74</v>
      </c>
      <c r="T177" s="14" t="s">
        <v>43</v>
      </c>
      <c r="U177" s="14">
        <v>75</v>
      </c>
      <c r="V177" s="14" t="s">
        <v>44</v>
      </c>
      <c r="W177" s="14">
        <v>15</v>
      </c>
      <c r="X177" s="14" t="s">
        <v>44</v>
      </c>
      <c r="Y177" s="14" t="s">
        <v>42</v>
      </c>
      <c r="Z177" s="15" t="s">
        <v>45</v>
      </c>
      <c r="AA177" s="15">
        <v>75</v>
      </c>
      <c r="AB177" s="15" t="s">
        <v>44</v>
      </c>
      <c r="AC177" s="107">
        <v>74</v>
      </c>
      <c r="AD177" s="107" t="s">
        <v>44</v>
      </c>
      <c r="AE177" s="107"/>
      <c r="AF177" s="108">
        <v>0.8</v>
      </c>
      <c r="AG177" s="108">
        <v>1.3038404810405297</v>
      </c>
      <c r="AH177" s="109">
        <v>5</v>
      </c>
      <c r="AI177" s="110">
        <f t="shared" si="16"/>
        <v>1.408117795839682</v>
      </c>
      <c r="AJ177" s="24">
        <f t="shared" si="17"/>
        <v>1.4081177958396821E-3</v>
      </c>
      <c r="AK177" s="111">
        <v>0.92525999999999997</v>
      </c>
      <c r="AL177" s="111">
        <v>5.6962250657784472E-2</v>
      </c>
      <c r="AM177" s="111">
        <v>0.48285779583968197</v>
      </c>
      <c r="AN177" s="111">
        <v>6.8874000930096851E-2</v>
      </c>
      <c r="AO177" s="108">
        <v>1098</v>
      </c>
      <c r="AP177" s="108">
        <v>120.29131306956458</v>
      </c>
      <c r="AQ177" s="108">
        <v>1238</v>
      </c>
      <c r="AR177" s="108">
        <v>126.37246535539299</v>
      </c>
      <c r="AS177" s="108">
        <v>1488</v>
      </c>
      <c r="AT177" s="108">
        <v>105.45141061171255</v>
      </c>
      <c r="AU177" s="108">
        <v>3440</v>
      </c>
      <c r="AV177" s="108">
        <v>194.93588689617928</v>
      </c>
      <c r="AW177" s="50">
        <v>1.6137134312495263</v>
      </c>
      <c r="AX177" s="21">
        <v>3.0378176976885061</v>
      </c>
      <c r="AY177" s="51">
        <v>1.01593548</v>
      </c>
      <c r="AZ177" s="51">
        <v>0.59777795124952626</v>
      </c>
      <c r="BA177" s="51">
        <v>1.37678688</v>
      </c>
      <c r="BB177" s="51">
        <v>1.661030817688506</v>
      </c>
      <c r="BC177" s="52">
        <v>0.58840149105682016</v>
      </c>
      <c r="BD177" s="51">
        <v>1.2064545659299906</v>
      </c>
      <c r="BE177" s="21">
        <f t="shared" si="18"/>
        <v>0.52186174247204242</v>
      </c>
      <c r="BF177" s="23"/>
      <c r="BN177" s="44">
        <v>46600</v>
      </c>
      <c r="BO177" s="44">
        <v>31800</v>
      </c>
      <c r="BP177" s="44">
        <v>12060</v>
      </c>
      <c r="BQ177" s="44">
        <v>2740</v>
      </c>
      <c r="BR177" s="45">
        <v>16.713406550048411</v>
      </c>
      <c r="BS177" s="45">
        <v>20.457126973182621</v>
      </c>
      <c r="BT177" s="44">
        <v>276</v>
      </c>
      <c r="BU177" s="43">
        <v>122.26622873139706</v>
      </c>
      <c r="BV177" s="44">
        <v>8100</v>
      </c>
      <c r="BW177" s="44">
        <v>4260</v>
      </c>
    </row>
    <row r="178" spans="1:75" s="15" customFormat="1">
      <c r="A178" s="13" t="s">
        <v>220</v>
      </c>
      <c r="B178" s="14" t="s">
        <v>99</v>
      </c>
      <c r="C178" s="14" t="s">
        <v>38</v>
      </c>
      <c r="D178" s="14" t="s">
        <v>36</v>
      </c>
      <c r="E178" s="14">
        <v>63</v>
      </c>
      <c r="F178" s="16"/>
      <c r="G178" s="14"/>
      <c r="H178" s="14"/>
      <c r="I178" s="14"/>
      <c r="J178" s="19" t="s">
        <v>47</v>
      </c>
      <c r="K178" s="46">
        <v>5.7</v>
      </c>
      <c r="L178" s="15">
        <v>1.4850000000000001</v>
      </c>
      <c r="M178" s="15" t="s">
        <v>283</v>
      </c>
      <c r="N178" s="114">
        <v>15</v>
      </c>
      <c r="O178" s="15">
        <v>10.167999999999999</v>
      </c>
      <c r="P178" s="15" t="s">
        <v>42</v>
      </c>
      <c r="Q178" s="15" t="s">
        <v>42</v>
      </c>
      <c r="R178" s="107">
        <v>98</v>
      </c>
      <c r="S178" s="107">
        <v>98</v>
      </c>
      <c r="T178" s="14" t="s">
        <v>43</v>
      </c>
      <c r="U178" s="14">
        <v>75</v>
      </c>
      <c r="V178" s="14" t="s">
        <v>44</v>
      </c>
      <c r="W178" s="14">
        <v>15</v>
      </c>
      <c r="X178" s="14" t="s">
        <v>44</v>
      </c>
      <c r="Y178" s="14" t="s">
        <v>42</v>
      </c>
      <c r="Z178" s="15" t="s">
        <v>45</v>
      </c>
      <c r="AA178" s="15">
        <v>100</v>
      </c>
      <c r="AB178" s="15" t="s">
        <v>44</v>
      </c>
      <c r="AC178" s="107">
        <v>98</v>
      </c>
      <c r="AD178" s="107" t="s">
        <v>44</v>
      </c>
      <c r="AE178" s="107"/>
      <c r="AF178" s="108">
        <v>0.8</v>
      </c>
      <c r="AG178" s="108">
        <v>1.3038404810405297</v>
      </c>
      <c r="AH178" s="109">
        <v>5</v>
      </c>
      <c r="AI178" s="110">
        <f t="shared" si="16"/>
        <v>1.0428172263289079</v>
      </c>
      <c r="AJ178" s="24">
        <f t="shared" si="17"/>
        <v>1.042817226328908E-3</v>
      </c>
      <c r="AK178" s="111">
        <v>0.63003999999999993</v>
      </c>
      <c r="AL178" s="111">
        <v>7.7188166191457352E-2</v>
      </c>
      <c r="AM178" s="111">
        <v>0.41277722632890795</v>
      </c>
      <c r="AN178" s="111">
        <v>7.4103756641027155E-2</v>
      </c>
      <c r="AO178" s="108">
        <v>996</v>
      </c>
      <c r="AP178" s="108">
        <v>49.79959839195493</v>
      </c>
      <c r="AQ178" s="108">
        <v>1164</v>
      </c>
      <c r="AR178" s="108">
        <v>79.246451024635803</v>
      </c>
      <c r="AS178" s="108">
        <v>2340</v>
      </c>
      <c r="AT178" s="108">
        <v>167.33200530681512</v>
      </c>
      <c r="AU178" s="108">
        <v>4200</v>
      </c>
      <c r="AV178" s="108">
        <v>616.44140029689765</v>
      </c>
      <c r="AW178" s="50">
        <v>1.1079925314468488</v>
      </c>
      <c r="AX178" s="21">
        <v>3.2079579505814131</v>
      </c>
      <c r="AY178" s="51">
        <v>0.62751983999999994</v>
      </c>
      <c r="AZ178" s="51">
        <v>0.48047269144684884</v>
      </c>
      <c r="BA178" s="51">
        <v>1.4742935999999998</v>
      </c>
      <c r="BB178" s="51">
        <v>1.7336643505814133</v>
      </c>
      <c r="BC178" s="52">
        <v>0.76566932361349549</v>
      </c>
      <c r="BD178" s="51">
        <v>1.1759288316665104</v>
      </c>
      <c r="BE178" s="21">
        <f t="shared" si="18"/>
        <v>0.65516034907134146</v>
      </c>
      <c r="BF178" s="23"/>
      <c r="BN178" s="44">
        <v>41400</v>
      </c>
      <c r="BO178" s="44">
        <v>29800</v>
      </c>
      <c r="BP178" s="44">
        <v>14980</v>
      </c>
      <c r="BQ178" s="44">
        <v>2900</v>
      </c>
      <c r="BR178" s="45">
        <v>20.035168943840123</v>
      </c>
      <c r="BS178" s="45">
        <v>20.888441545852693</v>
      </c>
      <c r="BT178" s="44">
        <v>316</v>
      </c>
      <c r="BU178" s="43">
        <v>129.62666560872313</v>
      </c>
      <c r="BV178" s="44">
        <v>10600</v>
      </c>
      <c r="BW178" s="44">
        <v>4600</v>
      </c>
    </row>
    <row r="179" spans="1:75" s="77" customFormat="1">
      <c r="A179" s="116" t="s">
        <v>221</v>
      </c>
      <c r="B179" s="26" t="s">
        <v>100</v>
      </c>
      <c r="C179" s="26" t="s">
        <v>35</v>
      </c>
      <c r="D179" s="26" t="s">
        <v>36</v>
      </c>
      <c r="E179" s="26">
        <v>56</v>
      </c>
      <c r="F179" s="26"/>
      <c r="G179" s="26"/>
      <c r="H179" s="26"/>
      <c r="I179" s="26"/>
      <c r="J179" s="56" t="s">
        <v>47</v>
      </c>
      <c r="K179" s="60">
        <v>5.7</v>
      </c>
      <c r="L179" s="27">
        <v>1.4850000000000001</v>
      </c>
      <c r="M179" s="15" t="s">
        <v>283</v>
      </c>
      <c r="N179" s="94">
        <v>16.531200000000002</v>
      </c>
      <c r="O179" s="27"/>
      <c r="P179" s="27"/>
      <c r="Q179" s="27" t="s">
        <v>42</v>
      </c>
      <c r="R179" s="94">
        <v>20.213999999999999</v>
      </c>
      <c r="S179" s="27"/>
      <c r="T179" s="26" t="s">
        <v>43</v>
      </c>
      <c r="U179" s="27">
        <v>25</v>
      </c>
      <c r="V179" s="26" t="s">
        <v>44</v>
      </c>
      <c r="W179" s="94">
        <v>16.531200000000002</v>
      </c>
      <c r="X179" s="26" t="s">
        <v>44</v>
      </c>
      <c r="Y179" s="26" t="s">
        <v>42</v>
      </c>
      <c r="Z179" s="27" t="s">
        <v>45</v>
      </c>
      <c r="AA179" s="27">
        <v>25</v>
      </c>
      <c r="AB179" s="27" t="s">
        <v>44</v>
      </c>
      <c r="AC179" s="94">
        <v>20.213999999999999</v>
      </c>
      <c r="AD179" s="120" t="s">
        <v>44</v>
      </c>
      <c r="AE179" s="27"/>
      <c r="AF179" s="82">
        <v>34.533333333333339</v>
      </c>
      <c r="AG179" s="145">
        <v>11.550853744300548</v>
      </c>
      <c r="AH179" s="89">
        <v>5</v>
      </c>
      <c r="AI179" s="30">
        <v>3.9944406768741261</v>
      </c>
      <c r="AJ179" s="31">
        <f t="shared" si="17"/>
        <v>3.9944406768741263E-3</v>
      </c>
      <c r="AK179" s="121">
        <v>3.0625599999999999</v>
      </c>
      <c r="AL179" s="121">
        <v>6.0058954369851716E-2</v>
      </c>
      <c r="AM179" s="121">
        <v>0.9318806768741259</v>
      </c>
      <c r="AN179" s="121">
        <v>6.590034871311283E-2</v>
      </c>
      <c r="AO179" s="30">
        <v>1214</v>
      </c>
      <c r="AP179" s="48">
        <v>58.9915248150105</v>
      </c>
      <c r="AQ179" s="30">
        <v>1494</v>
      </c>
      <c r="AR179" s="48">
        <v>156.62056059151365</v>
      </c>
      <c r="AS179" s="30">
        <v>115.81206307291677</v>
      </c>
      <c r="AT179" s="48">
        <v>8.0401246912763202</v>
      </c>
      <c r="AU179" s="30">
        <v>440</v>
      </c>
      <c r="AV179" s="48">
        <v>28.284271247461902</v>
      </c>
      <c r="AW179" s="30">
        <v>5.1047679978118161</v>
      </c>
      <c r="AX179" s="30">
        <v>0.76329954911471565</v>
      </c>
      <c r="AY179" s="30">
        <v>3.7191621999999995</v>
      </c>
      <c r="AZ179" s="30">
        <v>1.3856057978118168</v>
      </c>
      <c r="BA179" s="30">
        <v>0.35454404311634619</v>
      </c>
      <c r="BB179" s="30">
        <v>0.40875550599836935</v>
      </c>
      <c r="BC179" s="30">
        <v>0.37318258758023093</v>
      </c>
      <c r="BD179" s="30">
        <v>1.1553882913423632</v>
      </c>
      <c r="BE179" s="122">
        <v>0.30451634357691115</v>
      </c>
      <c r="BF179" s="81">
        <v>-0.2056098179312574</v>
      </c>
      <c r="BG179" s="27">
        <v>30.495856984796681</v>
      </c>
      <c r="BH179" s="27">
        <v>-21.246723673658757</v>
      </c>
      <c r="BI179" s="22" t="s">
        <v>98</v>
      </c>
      <c r="BN179" s="117">
        <v>26400</v>
      </c>
      <c r="BO179" s="118">
        <v>26800</v>
      </c>
      <c r="BP179" s="117">
        <v>11980</v>
      </c>
      <c r="BQ179" s="117">
        <v>3120</v>
      </c>
      <c r="BR179" s="119">
        <v>9.6386322265255977</v>
      </c>
      <c r="BS179" s="119">
        <v>59.599612109893677</v>
      </c>
      <c r="BT179" s="119">
        <v>147.19097477122517</v>
      </c>
      <c r="BU179" s="119">
        <v>199.28029761114985</v>
      </c>
      <c r="BV179" s="117">
        <v>5860</v>
      </c>
      <c r="BW179" s="117">
        <v>6160</v>
      </c>
    </row>
    <row r="180" spans="1:75" s="77" customFormat="1">
      <c r="A180" s="116" t="s">
        <v>221</v>
      </c>
      <c r="B180" s="26" t="s">
        <v>100</v>
      </c>
      <c r="C180" s="26" t="s">
        <v>35</v>
      </c>
      <c r="D180" s="26" t="s">
        <v>36</v>
      </c>
      <c r="E180" s="26">
        <v>56</v>
      </c>
      <c r="F180" s="26"/>
      <c r="G180" s="26"/>
      <c r="H180" s="26"/>
      <c r="I180" s="26"/>
      <c r="J180" s="56" t="s">
        <v>47</v>
      </c>
      <c r="K180" s="60">
        <v>5.7</v>
      </c>
      <c r="L180" s="27">
        <v>1.4850000000000001</v>
      </c>
      <c r="M180" s="15" t="s">
        <v>283</v>
      </c>
      <c r="N180" s="94">
        <v>15.918933333333335</v>
      </c>
      <c r="O180" s="27"/>
      <c r="P180" s="27"/>
      <c r="Q180" s="27" t="s">
        <v>42</v>
      </c>
      <c r="R180" s="94">
        <v>16.273333333333337</v>
      </c>
      <c r="S180" s="27"/>
      <c r="T180" s="26" t="s">
        <v>43</v>
      </c>
      <c r="U180" s="27">
        <v>25</v>
      </c>
      <c r="V180" s="26" t="s">
        <v>44</v>
      </c>
      <c r="W180" s="94">
        <v>15.918933333333335</v>
      </c>
      <c r="X180" s="26" t="s">
        <v>44</v>
      </c>
      <c r="Y180" s="26" t="s">
        <v>42</v>
      </c>
      <c r="Z180" s="27" t="s">
        <v>101</v>
      </c>
      <c r="AA180" s="27">
        <v>25</v>
      </c>
      <c r="AB180" s="27" t="s">
        <v>44</v>
      </c>
      <c r="AC180" s="94">
        <v>16.273333333333337</v>
      </c>
      <c r="AD180" s="120" t="s">
        <v>44</v>
      </c>
      <c r="AE180" s="27"/>
      <c r="AF180" s="82">
        <v>24</v>
      </c>
      <c r="AG180" s="145">
        <v>7.0237691685684949</v>
      </c>
      <c r="AH180" s="89">
        <v>5</v>
      </c>
      <c r="AI180" s="30">
        <v>3.9336737716421872</v>
      </c>
      <c r="AJ180" s="31">
        <f t="shared" si="17"/>
        <v>3.9336737716421872E-3</v>
      </c>
      <c r="AK180" s="121">
        <v>3.04514</v>
      </c>
      <c r="AL180" s="121">
        <v>7.0479096191700952E-2</v>
      </c>
      <c r="AM180" s="121">
        <v>0.88853377164218728</v>
      </c>
      <c r="AN180" s="121">
        <v>2.7138107541796869E-2</v>
      </c>
      <c r="AO180" s="30">
        <v>1258</v>
      </c>
      <c r="AP180" s="48">
        <v>88.713020464867498</v>
      </c>
      <c r="AQ180" s="30">
        <v>1592</v>
      </c>
      <c r="AR180" s="48">
        <v>55.407580708780273</v>
      </c>
      <c r="AS180" s="30">
        <v>126.22013475016266</v>
      </c>
      <c r="AT180" s="48">
        <v>13.431719825987237</v>
      </c>
      <c r="AU180" s="30">
        <v>458</v>
      </c>
      <c r="AV180" s="48">
        <v>81.670067956381672</v>
      </c>
      <c r="AW180" s="30">
        <v>5.2397526161836208</v>
      </c>
      <c r="AX180" s="30">
        <v>0.79285098734793436</v>
      </c>
      <c r="AY180" s="30">
        <v>3.8263790000000002</v>
      </c>
      <c r="AZ180" s="30">
        <v>1.4133736161836201</v>
      </c>
      <c r="BA180" s="30">
        <v>0.38490036210003431</v>
      </c>
      <c r="BB180" s="30">
        <v>0.40795062524790016</v>
      </c>
      <c r="BC180" s="30">
        <v>0.37011260174645366</v>
      </c>
      <c r="BD180" s="30">
        <v>1.0523293797808657</v>
      </c>
      <c r="BE180" s="122">
        <v>0.29187876411992253</v>
      </c>
      <c r="BF180" s="81">
        <v>-3.2798257789351419</v>
      </c>
      <c r="BG180" s="27">
        <v>40.177711451058691</v>
      </c>
      <c r="BH180" s="27">
        <v>-8.9931604403664416</v>
      </c>
      <c r="BI180" s="22"/>
      <c r="BN180" s="81">
        <v>26400</v>
      </c>
      <c r="BO180" s="85">
        <v>27600</v>
      </c>
      <c r="BP180" s="81">
        <v>12400</v>
      </c>
      <c r="BQ180" s="81">
        <v>3220</v>
      </c>
      <c r="BR180" s="29">
        <v>10.392875469065082</v>
      </c>
      <c r="BS180" s="29">
        <v>47.428100653890723</v>
      </c>
      <c r="BT180" s="29">
        <v>141.58982381835872</v>
      </c>
      <c r="BU180" s="29">
        <v>155.23567112718294</v>
      </c>
      <c r="BV180" s="81">
        <v>6180</v>
      </c>
      <c r="BW180" s="81">
        <v>6180</v>
      </c>
    </row>
    <row r="181" spans="1:75" s="77" customFormat="1">
      <c r="A181" s="116" t="s">
        <v>221</v>
      </c>
      <c r="B181" s="26" t="s">
        <v>100</v>
      </c>
      <c r="C181" s="26" t="s">
        <v>35</v>
      </c>
      <c r="D181" s="26" t="s">
        <v>36</v>
      </c>
      <c r="E181" s="26">
        <v>56</v>
      </c>
      <c r="F181" s="26"/>
      <c r="G181" s="26"/>
      <c r="H181" s="26"/>
      <c r="I181" s="26"/>
      <c r="J181" s="56" t="s">
        <v>47</v>
      </c>
      <c r="K181" s="60">
        <v>5.7</v>
      </c>
      <c r="L181" s="27">
        <v>1.4850000000000001</v>
      </c>
      <c r="M181" s="15" t="s">
        <v>283</v>
      </c>
      <c r="N181" s="94">
        <v>14.956800000000001</v>
      </c>
      <c r="O181" s="27"/>
      <c r="P181" s="27"/>
      <c r="Q181" s="27" t="s">
        <v>42</v>
      </c>
      <c r="R181" s="94">
        <v>16.489999999999998</v>
      </c>
      <c r="S181" s="27"/>
      <c r="T181" s="26" t="s">
        <v>43</v>
      </c>
      <c r="U181" s="27">
        <v>25</v>
      </c>
      <c r="V181" s="26" t="s">
        <v>44</v>
      </c>
      <c r="W181" s="94">
        <v>14.956800000000001</v>
      </c>
      <c r="X181" s="26" t="s">
        <v>44</v>
      </c>
      <c r="Y181" s="26" t="s">
        <v>42</v>
      </c>
      <c r="Z181" s="27" t="s">
        <v>102</v>
      </c>
      <c r="AA181" s="27">
        <v>25</v>
      </c>
      <c r="AB181" s="27" t="s">
        <v>44</v>
      </c>
      <c r="AC181" s="94">
        <v>16.489999999999998</v>
      </c>
      <c r="AD181" s="120" t="s">
        <v>44</v>
      </c>
      <c r="AE181" s="27"/>
      <c r="AF181" s="82">
        <v>27.866666666666667</v>
      </c>
      <c r="AG181" s="145">
        <v>7.3996996936061858</v>
      </c>
      <c r="AH181" s="89">
        <v>5</v>
      </c>
      <c r="AI181" s="30">
        <v>3.9846420288652582</v>
      </c>
      <c r="AJ181" s="31">
        <f t="shared" si="17"/>
        <v>3.9846420288652583E-3</v>
      </c>
      <c r="AK181" s="121">
        <v>3.0294999999999996</v>
      </c>
      <c r="AL181" s="121">
        <v>5.249057058179573E-2</v>
      </c>
      <c r="AM181" s="121">
        <v>0.95514202886525845</v>
      </c>
      <c r="AN181" s="121">
        <v>0.11646262689170711</v>
      </c>
      <c r="AO181" s="30">
        <v>1138</v>
      </c>
      <c r="AP181" s="48">
        <v>37.013511046643494</v>
      </c>
      <c r="AQ181" s="30">
        <v>1420</v>
      </c>
      <c r="AR181" s="48">
        <v>79.686887252546143</v>
      </c>
      <c r="AS181" s="30">
        <v>111.06381090078017</v>
      </c>
      <c r="AT181" s="48">
        <v>6.3925149257274052</v>
      </c>
      <c r="AU181" s="30">
        <v>342</v>
      </c>
      <c r="AV181" s="48">
        <v>67.970581871865718</v>
      </c>
      <c r="AW181" s="30">
        <v>4.797575439028587</v>
      </c>
      <c r="AX181" s="30">
        <v>0.65712192561360416</v>
      </c>
      <c r="AY181" s="30">
        <v>3.4478471999999996</v>
      </c>
      <c r="AZ181" s="30">
        <v>1.3497282390285876</v>
      </c>
      <c r="BA181" s="30">
        <v>0.33644352379362602</v>
      </c>
      <c r="BB181" s="30">
        <v>0.32067840181997803</v>
      </c>
      <c r="BC181" s="30">
        <v>0.39247430868831334</v>
      </c>
      <c r="BD181" s="30">
        <v>0.95220991275446809</v>
      </c>
      <c r="BE181" s="122">
        <v>0.3154624513550392</v>
      </c>
      <c r="BF181" s="81">
        <v>1.3792392799453015</v>
      </c>
      <c r="BG181" s="27">
        <v>36.899920361156276</v>
      </c>
      <c r="BH181" s="27">
        <v>-7.141015332968462</v>
      </c>
      <c r="BI181" s="22"/>
      <c r="BN181" s="81">
        <v>27000</v>
      </c>
      <c r="BO181" s="85">
        <v>25600</v>
      </c>
      <c r="BP181" s="81">
        <v>11880</v>
      </c>
      <c r="BQ181" s="81">
        <v>3080</v>
      </c>
      <c r="BR181" s="29">
        <v>9.3244554618270392</v>
      </c>
      <c r="BS181" s="29">
        <v>38.929234105569392</v>
      </c>
      <c r="BT181" s="29">
        <v>153.39218297208717</v>
      </c>
      <c r="BU181" s="29">
        <v>173.71288366394671</v>
      </c>
      <c r="BV181" s="81">
        <v>6000</v>
      </c>
      <c r="BW181" s="81">
        <v>6400</v>
      </c>
    </row>
    <row r="182" spans="1:75" s="77" customFormat="1">
      <c r="A182" s="116" t="s">
        <v>221</v>
      </c>
      <c r="B182" s="26" t="s">
        <v>100</v>
      </c>
      <c r="C182" s="26" t="s">
        <v>35</v>
      </c>
      <c r="D182" s="26" t="s">
        <v>36</v>
      </c>
      <c r="E182" s="26">
        <v>56</v>
      </c>
      <c r="F182" s="26"/>
      <c r="G182" s="26"/>
      <c r="H182" s="26"/>
      <c r="I182" s="26"/>
      <c r="J182" s="56" t="s">
        <v>47</v>
      </c>
      <c r="K182" s="60">
        <v>5.7</v>
      </c>
      <c r="L182" s="27">
        <v>1.4850000000000001</v>
      </c>
      <c r="M182" s="15" t="s">
        <v>283</v>
      </c>
      <c r="N182" s="94">
        <v>16.793600000000001</v>
      </c>
      <c r="O182" s="27"/>
      <c r="P182" s="27"/>
      <c r="Q182" s="27" t="s">
        <v>42</v>
      </c>
      <c r="R182" s="94">
        <v>12.531333333333334</v>
      </c>
      <c r="S182" s="27"/>
      <c r="T182" s="26" t="s">
        <v>43</v>
      </c>
      <c r="U182" s="27">
        <v>25</v>
      </c>
      <c r="V182" s="26" t="s">
        <v>44</v>
      </c>
      <c r="W182" s="94">
        <v>16.793600000000001</v>
      </c>
      <c r="X182" s="26" t="s">
        <v>44</v>
      </c>
      <c r="Y182" s="26" t="s">
        <v>42</v>
      </c>
      <c r="Z182" s="27" t="s">
        <v>103</v>
      </c>
      <c r="AA182" s="27">
        <v>25</v>
      </c>
      <c r="AB182" s="27" t="s">
        <v>44</v>
      </c>
      <c r="AC182" s="94">
        <v>12.531333333333334</v>
      </c>
      <c r="AD182" s="120" t="s">
        <v>44</v>
      </c>
      <c r="AE182" s="27"/>
      <c r="AF182" s="82">
        <v>28.533333333333339</v>
      </c>
      <c r="AG182" s="145">
        <v>6.1355068612498549</v>
      </c>
      <c r="AH182" s="89">
        <v>5</v>
      </c>
      <c r="AI182" s="30">
        <v>4.1201995948065457</v>
      </c>
      <c r="AJ182" s="31">
        <f t="shared" si="17"/>
        <v>4.1201995948065458E-3</v>
      </c>
      <c r="AK182" s="121">
        <v>3.1905200000000002</v>
      </c>
      <c r="AL182" s="121">
        <v>7.6339878176483661E-2</v>
      </c>
      <c r="AM182" s="121">
        <v>0.92967959480654638</v>
      </c>
      <c r="AN182" s="121">
        <v>7.1653596095102509E-2</v>
      </c>
      <c r="AO182" s="30">
        <v>1260</v>
      </c>
      <c r="AP182" s="48">
        <v>88.317608663278463</v>
      </c>
      <c r="AQ182" s="30">
        <v>1536</v>
      </c>
      <c r="AR182" s="48">
        <v>68.774995456197601</v>
      </c>
      <c r="AS182" s="30">
        <v>90.928005300000251</v>
      </c>
      <c r="AT182" s="48">
        <v>3.091022864562023</v>
      </c>
      <c r="AU182" s="30">
        <v>226</v>
      </c>
      <c r="AV182" s="48">
        <v>11.401754250991379</v>
      </c>
      <c r="AW182" s="30">
        <v>5.4429340696719217</v>
      </c>
      <c r="AX182" s="30">
        <v>0.49981631061315229</v>
      </c>
      <c r="AY182" s="30">
        <v>4.0184344000000003</v>
      </c>
      <c r="AZ182" s="30">
        <v>1.4244996696719214</v>
      </c>
      <c r="BA182" s="30">
        <v>0.28993781249351258</v>
      </c>
      <c r="BB182" s="30">
        <v>0.20987849811963971</v>
      </c>
      <c r="BC182" s="30">
        <v>0.35575236049932818</v>
      </c>
      <c r="BD182" s="30">
        <v>0.72451580453951103</v>
      </c>
      <c r="BE182" s="122">
        <v>0.29134825879863629</v>
      </c>
      <c r="BF182" s="81">
        <v>0.94519905049580122</v>
      </c>
      <c r="BG182" s="27">
        <v>36.567388023102787</v>
      </c>
      <c r="BH182" s="27">
        <v>-15.212823349597391</v>
      </c>
      <c r="BI182" s="22"/>
      <c r="BN182" s="81">
        <v>25400</v>
      </c>
      <c r="BO182" s="85">
        <v>25600</v>
      </c>
      <c r="BP182" s="81">
        <v>11680</v>
      </c>
      <c r="BQ182" s="81">
        <v>3100</v>
      </c>
      <c r="BR182" s="29">
        <v>9.0351432008049759</v>
      </c>
      <c r="BS182" s="29">
        <v>40.61737916309643</v>
      </c>
      <c r="BT182" s="29">
        <v>147.23611838145126</v>
      </c>
      <c r="BU182" s="29">
        <v>250.37071039414224</v>
      </c>
      <c r="BV182" s="81">
        <v>5840</v>
      </c>
      <c r="BW182" s="81">
        <v>6060</v>
      </c>
    </row>
    <row r="183" spans="1:75" s="77" customFormat="1">
      <c r="A183" s="116" t="s">
        <v>221</v>
      </c>
      <c r="B183" s="26" t="s">
        <v>100</v>
      </c>
      <c r="C183" s="26" t="s">
        <v>35</v>
      </c>
      <c r="D183" s="26" t="s">
        <v>36</v>
      </c>
      <c r="E183" s="26">
        <v>56</v>
      </c>
      <c r="F183" s="26"/>
      <c r="G183" s="26"/>
      <c r="H183" s="26"/>
      <c r="I183" s="26"/>
      <c r="J183" s="56" t="s">
        <v>47</v>
      </c>
      <c r="K183" s="60">
        <v>5.7</v>
      </c>
      <c r="L183" s="27">
        <v>1.4850000000000001</v>
      </c>
      <c r="M183" s="15" t="s">
        <v>283</v>
      </c>
      <c r="N183" s="94">
        <v>18.805333333333333</v>
      </c>
      <c r="O183" s="27"/>
      <c r="P183" s="27"/>
      <c r="Q183" s="27" t="s">
        <v>42</v>
      </c>
      <c r="R183" s="94">
        <v>18.556000000000001</v>
      </c>
      <c r="S183" s="27"/>
      <c r="T183" s="26" t="s">
        <v>43</v>
      </c>
      <c r="U183" s="27">
        <v>25</v>
      </c>
      <c r="V183" s="26" t="s">
        <v>44</v>
      </c>
      <c r="W183" s="94">
        <v>18.805333333333333</v>
      </c>
      <c r="X183" s="26" t="s">
        <v>44</v>
      </c>
      <c r="Y183" s="26" t="s">
        <v>42</v>
      </c>
      <c r="Z183" s="27" t="s">
        <v>104</v>
      </c>
      <c r="AA183" s="27">
        <v>25</v>
      </c>
      <c r="AB183" s="27" t="s">
        <v>44</v>
      </c>
      <c r="AC183" s="94">
        <v>18.556000000000001</v>
      </c>
      <c r="AD183" s="120" t="s">
        <v>44</v>
      </c>
      <c r="AE183" s="27"/>
      <c r="AF183" s="82">
        <v>25.6</v>
      </c>
      <c r="AG183" s="145">
        <v>13.313318310791059</v>
      </c>
      <c r="AH183" s="89">
        <v>5</v>
      </c>
      <c r="AI183" s="30">
        <v>3.8770297066845787</v>
      </c>
      <c r="AJ183" s="31">
        <f t="shared" si="17"/>
        <v>3.8770297066845786E-3</v>
      </c>
      <c r="AK183" s="121">
        <v>2.9537199999999997</v>
      </c>
      <c r="AL183" s="121">
        <v>0.12137037117847758</v>
      </c>
      <c r="AM183" s="121">
        <v>0.92330970668457835</v>
      </c>
      <c r="AN183" s="121">
        <v>2.6496615063424711E-2</v>
      </c>
      <c r="AO183" s="30">
        <v>1182</v>
      </c>
      <c r="AP183" s="48">
        <v>103.53743284435828</v>
      </c>
      <c r="AQ183" s="30">
        <v>1456</v>
      </c>
      <c r="AR183" s="48">
        <v>37.148351242013419</v>
      </c>
      <c r="AS183" s="30">
        <v>102.42542467264809</v>
      </c>
      <c r="AT183" s="48">
        <v>3.0176168550919114</v>
      </c>
      <c r="AU183" s="30">
        <v>306</v>
      </c>
      <c r="AV183" s="48">
        <v>32.863353450309965</v>
      </c>
      <c r="AW183" s="30">
        <v>4.8296561240436997</v>
      </c>
      <c r="AX183" s="30">
        <v>0.58475556083955327</v>
      </c>
      <c r="AY183" s="30">
        <v>3.4851188</v>
      </c>
      <c r="AZ183" s="30">
        <v>1.3445373240437</v>
      </c>
      <c r="BA183" s="30">
        <v>0.30235974336962207</v>
      </c>
      <c r="BB183" s="30">
        <v>0.28239581746993131</v>
      </c>
      <c r="BC183" s="30">
        <v>0.38640501952687734</v>
      </c>
      <c r="BD183" s="30">
        <v>0.93330431752754506</v>
      </c>
      <c r="BE183" s="122">
        <v>0.313054563593336</v>
      </c>
      <c r="BF183" s="81">
        <v>10.051693008264724</v>
      </c>
      <c r="BG183" s="27">
        <v>51.572657440047486</v>
      </c>
      <c r="BH183" s="27">
        <v>-9.1818963233724293</v>
      </c>
      <c r="BI183" s="22"/>
      <c r="BN183" s="81">
        <v>26000</v>
      </c>
      <c r="BO183" s="85">
        <v>26600</v>
      </c>
      <c r="BP183" s="81">
        <v>12060</v>
      </c>
      <c r="BQ183" s="81">
        <v>3020</v>
      </c>
      <c r="BR183" s="29">
        <v>9.4369285434094987</v>
      </c>
      <c r="BS183" s="29">
        <v>40.717939700993057</v>
      </c>
      <c r="BT183" s="29">
        <v>149.3557376719013</v>
      </c>
      <c r="BU183" s="29">
        <v>175.00216249071713</v>
      </c>
      <c r="BV183" s="81">
        <v>6100</v>
      </c>
      <c r="BW183" s="81">
        <v>6060</v>
      </c>
    </row>
    <row r="184" spans="1:75" s="77" customFormat="1">
      <c r="A184" s="116" t="s">
        <v>221</v>
      </c>
      <c r="B184" s="26" t="s">
        <v>100</v>
      </c>
      <c r="C184" s="26" t="s">
        <v>35</v>
      </c>
      <c r="D184" s="26" t="s">
        <v>36</v>
      </c>
      <c r="E184" s="26">
        <v>56</v>
      </c>
      <c r="F184" s="26"/>
      <c r="G184" s="26"/>
      <c r="H184" s="26"/>
      <c r="I184" s="26"/>
      <c r="J184" s="56" t="s">
        <v>47</v>
      </c>
      <c r="K184" s="60">
        <v>5.7</v>
      </c>
      <c r="L184" s="27">
        <v>1.4850000000000001</v>
      </c>
      <c r="M184" s="15" t="s">
        <v>283</v>
      </c>
      <c r="N184" s="94">
        <v>17.755733333333335</v>
      </c>
      <c r="O184" s="27"/>
      <c r="P184" s="27"/>
      <c r="Q184" s="27" t="s">
        <v>42</v>
      </c>
      <c r="R184" s="94">
        <v>16.087333333333333</v>
      </c>
      <c r="S184" s="27"/>
      <c r="T184" s="26" t="s">
        <v>43</v>
      </c>
      <c r="U184" s="27">
        <v>25</v>
      </c>
      <c r="V184" s="26" t="s">
        <v>44</v>
      </c>
      <c r="W184" s="94">
        <v>17.755733333333335</v>
      </c>
      <c r="X184" s="26" t="s">
        <v>44</v>
      </c>
      <c r="Y184" s="26" t="s">
        <v>42</v>
      </c>
      <c r="Z184" s="27" t="s">
        <v>105</v>
      </c>
      <c r="AA184" s="27">
        <v>25</v>
      </c>
      <c r="AB184" s="27" t="s">
        <v>44</v>
      </c>
      <c r="AC184" s="94">
        <v>16.087333333333333</v>
      </c>
      <c r="AD184" s="120" t="s">
        <v>44</v>
      </c>
      <c r="AE184" s="27"/>
      <c r="AF184" s="123">
        <v>30</v>
      </c>
      <c r="AG184" s="145">
        <v>2.8674417556808667</v>
      </c>
      <c r="AH184" s="89">
        <v>5</v>
      </c>
      <c r="AI184" s="30">
        <v>4.0603115503748288</v>
      </c>
      <c r="AJ184" s="31">
        <f t="shared" si="17"/>
        <v>4.0603115503748287E-3</v>
      </c>
      <c r="AK184" s="121">
        <v>3.0852400000000002</v>
      </c>
      <c r="AL184" s="121">
        <v>8.0559189419938143E-2</v>
      </c>
      <c r="AM184" s="121">
        <v>0.97507155037482929</v>
      </c>
      <c r="AN184" s="121">
        <v>4.7209309428363308E-2</v>
      </c>
      <c r="AO184" s="30">
        <v>1386</v>
      </c>
      <c r="AP184" s="48">
        <v>59.413803110051795</v>
      </c>
      <c r="AQ184" s="30">
        <v>1568</v>
      </c>
      <c r="AR184" s="48">
        <v>96.280839215287273</v>
      </c>
      <c r="AS184" s="30">
        <v>141.95707314207067</v>
      </c>
      <c r="AT184" s="48">
        <v>3.9419577641096888</v>
      </c>
      <c r="AU184" s="30">
        <v>460</v>
      </c>
      <c r="AV184" s="48">
        <v>29.154759474226502</v>
      </c>
      <c r="AW184" s="30">
        <v>5.8016526935968677</v>
      </c>
      <c r="AX184" s="30">
        <v>0.88690372479601165</v>
      </c>
      <c r="AY184" s="30">
        <v>4.2761380000000004</v>
      </c>
      <c r="AZ184" s="30">
        <v>1.5255146935968678</v>
      </c>
      <c r="BA184" s="30">
        <v>0.43816683282243946</v>
      </c>
      <c r="BB184" s="30">
        <v>0.4487368919735723</v>
      </c>
      <c r="BC184" s="30">
        <v>0.35759810517687346</v>
      </c>
      <c r="BD184" s="30">
        <v>1.0227905061312301</v>
      </c>
      <c r="BE184" s="122">
        <v>0.31597572004544749</v>
      </c>
      <c r="BF184" s="81">
        <v>1.0563145574626713</v>
      </c>
      <c r="BG184" s="27">
        <v>36.797864793415485</v>
      </c>
      <c r="BH184" s="27">
        <v>-9.5804317024931862</v>
      </c>
      <c r="BI184" s="22"/>
      <c r="BN184" s="81">
        <v>25800</v>
      </c>
      <c r="BO184" s="85">
        <v>26800</v>
      </c>
      <c r="BP184" s="81">
        <v>12580</v>
      </c>
      <c r="BQ184" s="81">
        <v>2960</v>
      </c>
      <c r="BR184" s="29">
        <v>9.4741516087545712</v>
      </c>
      <c r="BS184" s="29">
        <v>42.375932631069773</v>
      </c>
      <c r="BT184" s="29">
        <v>151.07306249795775</v>
      </c>
      <c r="BU184" s="29">
        <v>171.24578722280535</v>
      </c>
      <c r="BV184" s="81">
        <v>6220</v>
      </c>
      <c r="BW184" s="81">
        <v>6640</v>
      </c>
    </row>
    <row r="185" spans="1:75" s="77" customFormat="1">
      <c r="A185" s="116" t="s">
        <v>221</v>
      </c>
      <c r="B185" s="26" t="s">
        <v>100</v>
      </c>
      <c r="C185" s="26" t="s">
        <v>38</v>
      </c>
      <c r="D185" s="26" t="s">
        <v>36</v>
      </c>
      <c r="E185" s="26">
        <v>56</v>
      </c>
      <c r="F185" s="26"/>
      <c r="G185" s="26"/>
      <c r="H185" s="26"/>
      <c r="I185" s="26"/>
      <c r="J185" s="56" t="s">
        <v>47</v>
      </c>
      <c r="K185" s="60">
        <v>5.7</v>
      </c>
      <c r="L185" s="27">
        <v>1.4850000000000001</v>
      </c>
      <c r="M185" s="15" t="s">
        <v>283</v>
      </c>
      <c r="N185" s="94">
        <v>16.531200000000002</v>
      </c>
      <c r="O185" s="27"/>
      <c r="P185" s="27"/>
      <c r="Q185" s="27" t="s">
        <v>42</v>
      </c>
      <c r="R185" s="94">
        <v>20.213999999999999</v>
      </c>
      <c r="S185" s="27"/>
      <c r="T185" s="26" t="s">
        <v>43</v>
      </c>
      <c r="U185" s="27">
        <v>25</v>
      </c>
      <c r="V185" s="26" t="s">
        <v>44</v>
      </c>
      <c r="W185" s="94">
        <v>16.531200000000002</v>
      </c>
      <c r="X185" s="26" t="s">
        <v>44</v>
      </c>
      <c r="Y185" s="26" t="s">
        <v>42</v>
      </c>
      <c r="Z185" s="27" t="s">
        <v>45</v>
      </c>
      <c r="AA185" s="27">
        <v>25</v>
      </c>
      <c r="AB185" s="27" t="s">
        <v>44</v>
      </c>
      <c r="AC185" s="94">
        <v>20.213999999999999</v>
      </c>
      <c r="AD185" s="120" t="s">
        <v>44</v>
      </c>
      <c r="AE185" s="56"/>
      <c r="AF185" s="81">
        <v>0</v>
      </c>
      <c r="AG185" s="146">
        <v>0</v>
      </c>
      <c r="AH185" s="89">
        <v>5</v>
      </c>
      <c r="AI185" s="30">
        <v>4.0026705605260116</v>
      </c>
      <c r="AJ185" s="31">
        <f t="shared" si="17"/>
        <v>4.0026705605260117E-3</v>
      </c>
      <c r="AK185" s="121">
        <v>3.09138</v>
      </c>
      <c r="AL185" s="121">
        <v>0.1407672440591213</v>
      </c>
      <c r="AM185" s="121">
        <v>0.91129056052601132</v>
      </c>
      <c r="AN185" s="121">
        <v>5.8552484332804612E-2</v>
      </c>
      <c r="AO185" s="30">
        <v>924</v>
      </c>
      <c r="AP185" s="48">
        <v>43.358966777357601</v>
      </c>
      <c r="AQ185" s="30">
        <v>1160</v>
      </c>
      <c r="AR185" s="48">
        <v>22.360679774997898</v>
      </c>
      <c r="AS185" s="30">
        <v>155.33767490054527</v>
      </c>
      <c r="AT185" s="48">
        <v>4.0767977630991989</v>
      </c>
      <c r="AU185" s="30">
        <v>534</v>
      </c>
      <c r="AV185" s="48">
        <v>60.249481325568276</v>
      </c>
      <c r="AW185" s="30">
        <v>3.9118238048021277</v>
      </c>
      <c r="AX185" s="30">
        <v>0.96922894477649635</v>
      </c>
      <c r="AY185" s="30">
        <v>2.8553881999999997</v>
      </c>
      <c r="AZ185" s="30">
        <v>1.0564356048021277</v>
      </c>
      <c r="BA185" s="30">
        <v>0.4799392541775368</v>
      </c>
      <c r="BB185" s="30">
        <v>0.48928969059895955</v>
      </c>
      <c r="BC185" s="30">
        <v>0.37093840786726251</v>
      </c>
      <c r="BD185" s="30">
        <v>1.018133871809578</v>
      </c>
      <c r="BE185" s="41">
        <v>0.29495272668445255</v>
      </c>
      <c r="BF185" s="41"/>
      <c r="BG185" s="27"/>
      <c r="BH185" s="27"/>
      <c r="BI185" s="22"/>
      <c r="BN185" s="81">
        <v>27600</v>
      </c>
      <c r="BO185" s="85">
        <v>24200</v>
      </c>
      <c r="BP185" s="81">
        <v>12660</v>
      </c>
      <c r="BQ185" s="81">
        <v>3240</v>
      </c>
      <c r="BR185" s="29">
        <v>8.9170716017925553</v>
      </c>
      <c r="BS185" s="29">
        <v>46.089799768355832</v>
      </c>
      <c r="BT185" s="29">
        <v>184.05656003014869</v>
      </c>
      <c r="BU185" s="29">
        <v>156.8132718330705</v>
      </c>
      <c r="BV185" s="81">
        <v>6380</v>
      </c>
      <c r="BW185" s="81">
        <v>8280</v>
      </c>
    </row>
    <row r="186" spans="1:75" s="77" customFormat="1">
      <c r="A186" s="116" t="s">
        <v>221</v>
      </c>
      <c r="B186" s="26" t="s">
        <v>100</v>
      </c>
      <c r="C186" s="26" t="s">
        <v>38</v>
      </c>
      <c r="D186" s="26" t="s">
        <v>36</v>
      </c>
      <c r="E186" s="26">
        <v>56</v>
      </c>
      <c r="F186" s="26"/>
      <c r="G186" s="26"/>
      <c r="H186" s="26"/>
      <c r="I186" s="26"/>
      <c r="J186" s="56" t="s">
        <v>47</v>
      </c>
      <c r="K186" s="60">
        <v>5.7</v>
      </c>
      <c r="L186" s="27">
        <v>1.4850000000000001</v>
      </c>
      <c r="M186" s="15" t="s">
        <v>283</v>
      </c>
      <c r="N186" s="94">
        <v>15.918933333333335</v>
      </c>
      <c r="O186" s="27"/>
      <c r="P186" s="27"/>
      <c r="Q186" s="27" t="s">
        <v>42</v>
      </c>
      <c r="R186" s="94">
        <v>16.273333333333337</v>
      </c>
      <c r="S186" s="27"/>
      <c r="T186" s="26" t="s">
        <v>43</v>
      </c>
      <c r="U186" s="27">
        <v>25</v>
      </c>
      <c r="V186" s="26" t="s">
        <v>44</v>
      </c>
      <c r="W186" s="94">
        <v>15.918933333333335</v>
      </c>
      <c r="X186" s="26" t="s">
        <v>44</v>
      </c>
      <c r="Y186" s="26" t="s">
        <v>42</v>
      </c>
      <c r="Z186" s="27" t="s">
        <v>101</v>
      </c>
      <c r="AA186" s="27">
        <v>25</v>
      </c>
      <c r="AB186" s="27" t="s">
        <v>44</v>
      </c>
      <c r="AC186" s="94">
        <v>16.273333333333337</v>
      </c>
      <c r="AD186" s="120" t="s">
        <v>44</v>
      </c>
      <c r="AE186" s="56"/>
      <c r="AF186" s="81">
        <v>0.2</v>
      </c>
      <c r="AG186" s="145">
        <v>0.44721359549995793</v>
      </c>
      <c r="AH186" s="89">
        <v>5</v>
      </c>
      <c r="AI186" s="30">
        <v>4.0670664660418545</v>
      </c>
      <c r="AJ186" s="31">
        <f t="shared" si="17"/>
        <v>4.0670664660418547E-3</v>
      </c>
      <c r="AK186" s="121">
        <v>3.1581400000000004</v>
      </c>
      <c r="AL186" s="121">
        <v>0.10936253014629585</v>
      </c>
      <c r="AM186" s="121">
        <v>0.90892646604185434</v>
      </c>
      <c r="AN186" s="121">
        <v>3.9823560004432691E-2</v>
      </c>
      <c r="AO186" s="30">
        <v>858</v>
      </c>
      <c r="AP186" s="48">
        <v>25.88435821108957</v>
      </c>
      <c r="AQ186" s="30">
        <v>1132</v>
      </c>
      <c r="AR186" s="48">
        <v>66.858058601787121</v>
      </c>
      <c r="AS186" s="30">
        <v>146.98259039100731</v>
      </c>
      <c r="AT186" s="48">
        <v>12.983086871667036</v>
      </c>
      <c r="AU186" s="30">
        <v>448</v>
      </c>
      <c r="AV186" s="48">
        <v>39.623225512317902</v>
      </c>
      <c r="AW186" s="30">
        <v>3.7379356261020247</v>
      </c>
      <c r="AX186" s="30">
        <v>0.87119934192243564</v>
      </c>
      <c r="AY186" s="30">
        <v>2.7101354</v>
      </c>
      <c r="AZ186" s="30">
        <v>1.0278002261020247</v>
      </c>
      <c r="BA186" s="30">
        <v>0.46323401536954745</v>
      </c>
      <c r="BB186" s="30">
        <v>0.4079653265528882</v>
      </c>
      <c r="BC186" s="30">
        <v>0.37934415569208413</v>
      </c>
      <c r="BD186" s="30">
        <v>0.87973690093010859</v>
      </c>
      <c r="BE186" s="41">
        <v>0.28821946656444508</v>
      </c>
      <c r="BF186" s="41"/>
      <c r="BG186" s="27"/>
      <c r="BH186" s="27"/>
      <c r="BI186" s="22"/>
      <c r="BN186" s="81">
        <v>27000</v>
      </c>
      <c r="BO186" s="85">
        <v>25000</v>
      </c>
      <c r="BP186" s="81">
        <v>12780</v>
      </c>
      <c r="BQ186" s="81">
        <v>3400</v>
      </c>
      <c r="BR186" s="29">
        <v>8.9529727155988592</v>
      </c>
      <c r="BS186" s="29">
        <v>31.360256090900133</v>
      </c>
      <c r="BT186" s="29">
        <v>166.79425461534871</v>
      </c>
      <c r="BU186" s="29">
        <v>143.98895086061347</v>
      </c>
      <c r="BV186" s="81">
        <v>6400</v>
      </c>
      <c r="BW186" s="81">
        <v>8580</v>
      </c>
    </row>
    <row r="187" spans="1:75" s="77" customFormat="1">
      <c r="A187" s="116" t="s">
        <v>221</v>
      </c>
      <c r="B187" s="26" t="s">
        <v>100</v>
      </c>
      <c r="C187" s="26" t="s">
        <v>38</v>
      </c>
      <c r="D187" s="26" t="s">
        <v>36</v>
      </c>
      <c r="E187" s="26">
        <v>56</v>
      </c>
      <c r="F187" s="26"/>
      <c r="G187" s="26"/>
      <c r="H187" s="26"/>
      <c r="I187" s="26"/>
      <c r="J187" s="56" t="s">
        <v>47</v>
      </c>
      <c r="K187" s="60">
        <v>5.7</v>
      </c>
      <c r="L187" s="27">
        <v>1.4850000000000001</v>
      </c>
      <c r="M187" s="15" t="s">
        <v>283</v>
      </c>
      <c r="N187" s="94">
        <v>14.956800000000001</v>
      </c>
      <c r="O187" s="27"/>
      <c r="P187" s="27"/>
      <c r="Q187" s="27" t="s">
        <v>42</v>
      </c>
      <c r="R187" s="94">
        <v>16.489999999999998</v>
      </c>
      <c r="S187" s="27"/>
      <c r="T187" s="26" t="s">
        <v>43</v>
      </c>
      <c r="U187" s="27">
        <v>25</v>
      </c>
      <c r="V187" s="26" t="s">
        <v>44</v>
      </c>
      <c r="W187" s="94">
        <v>14.956800000000001</v>
      </c>
      <c r="X187" s="26" t="s">
        <v>44</v>
      </c>
      <c r="Y187" s="26" t="s">
        <v>42</v>
      </c>
      <c r="Z187" s="27" t="s">
        <v>102</v>
      </c>
      <c r="AA187" s="27">
        <v>25</v>
      </c>
      <c r="AB187" s="27" t="s">
        <v>44</v>
      </c>
      <c r="AC187" s="94">
        <v>16.489999999999998</v>
      </c>
      <c r="AD187" s="120" t="s">
        <v>44</v>
      </c>
      <c r="AE187" s="56"/>
      <c r="AF187" s="81">
        <v>0.4</v>
      </c>
      <c r="AG187" s="145">
        <v>0.89442719099991586</v>
      </c>
      <c r="AH187" s="89">
        <v>5</v>
      </c>
      <c r="AI187" s="30">
        <v>3.93043196730072</v>
      </c>
      <c r="AJ187" s="31">
        <f t="shared" si="17"/>
        <v>3.9304319673007203E-3</v>
      </c>
      <c r="AK187" s="121">
        <v>3.0077199999999999</v>
      </c>
      <c r="AL187" s="121">
        <v>0.12383873384365114</v>
      </c>
      <c r="AM187" s="121">
        <v>0.92271196730071969</v>
      </c>
      <c r="AN187" s="121">
        <v>8.2565190580887113E-2</v>
      </c>
      <c r="AO187" s="30">
        <v>836</v>
      </c>
      <c r="AP187" s="48">
        <v>42.190046219457976</v>
      </c>
      <c r="AQ187" s="30">
        <v>1080</v>
      </c>
      <c r="AR187" s="48">
        <v>86.313382508160345</v>
      </c>
      <c r="AS187" s="30">
        <v>137.06565141180155</v>
      </c>
      <c r="AT187" s="48">
        <v>12.2434743169136</v>
      </c>
      <c r="AU187" s="30">
        <v>322</v>
      </c>
      <c r="AV187" s="48">
        <v>19.235384061671343</v>
      </c>
      <c r="AW187" s="30">
        <v>3.5044399049846655</v>
      </c>
      <c r="AX187" s="30">
        <v>0.70765572978196423</v>
      </c>
      <c r="AY187" s="30">
        <v>2.5135532</v>
      </c>
      <c r="AZ187" s="30">
        <v>0.9908867049846648</v>
      </c>
      <c r="BA187" s="30">
        <v>0.41119673359579129</v>
      </c>
      <c r="BB187" s="30">
        <v>0.29645899618617289</v>
      </c>
      <c r="BC187" s="30">
        <v>0.39549620202676061</v>
      </c>
      <c r="BD187" s="30">
        <v>0.72184497086670285</v>
      </c>
      <c r="BE187" s="41">
        <v>0.30747423513727845</v>
      </c>
      <c r="BF187" s="41"/>
      <c r="BG187" s="27"/>
      <c r="BH187" s="27"/>
      <c r="BI187" s="22"/>
      <c r="BN187" s="81">
        <v>27400</v>
      </c>
      <c r="BO187" s="85">
        <v>25000</v>
      </c>
      <c r="BP187" s="81">
        <v>13300</v>
      </c>
      <c r="BQ187" s="81">
        <v>3100</v>
      </c>
      <c r="BR187" s="29">
        <v>8.9951065643114951</v>
      </c>
      <c r="BS187" s="29">
        <v>27.760338258101704</v>
      </c>
      <c r="BT187" s="29">
        <v>186.28396690366009</v>
      </c>
      <c r="BU187" s="29">
        <v>154.17443464773891</v>
      </c>
      <c r="BV187" s="81">
        <v>6960</v>
      </c>
      <c r="BW187" s="81">
        <v>8320</v>
      </c>
    </row>
    <row r="188" spans="1:75" s="77" customFormat="1">
      <c r="A188" s="116" t="s">
        <v>221</v>
      </c>
      <c r="B188" s="26" t="s">
        <v>100</v>
      </c>
      <c r="C188" s="26" t="s">
        <v>38</v>
      </c>
      <c r="D188" s="26" t="s">
        <v>36</v>
      </c>
      <c r="E188" s="26">
        <v>56</v>
      </c>
      <c r="F188" s="26"/>
      <c r="G188" s="26"/>
      <c r="H188" s="26"/>
      <c r="I188" s="26"/>
      <c r="J188" s="56" t="s">
        <v>47</v>
      </c>
      <c r="K188" s="60">
        <v>5.7</v>
      </c>
      <c r="L188" s="27">
        <v>1.4850000000000001</v>
      </c>
      <c r="M188" s="15" t="s">
        <v>283</v>
      </c>
      <c r="N188" s="94">
        <v>16.793600000000001</v>
      </c>
      <c r="O188" s="27"/>
      <c r="P188" s="27"/>
      <c r="Q188" s="27" t="s">
        <v>42</v>
      </c>
      <c r="R188" s="94">
        <v>12.531333333333334</v>
      </c>
      <c r="S188" s="27"/>
      <c r="T188" s="26" t="s">
        <v>43</v>
      </c>
      <c r="U188" s="27">
        <v>25</v>
      </c>
      <c r="V188" s="26" t="s">
        <v>44</v>
      </c>
      <c r="W188" s="94">
        <v>16.793600000000001</v>
      </c>
      <c r="X188" s="26" t="s">
        <v>44</v>
      </c>
      <c r="Y188" s="26" t="s">
        <v>42</v>
      </c>
      <c r="Z188" s="27" t="s">
        <v>103</v>
      </c>
      <c r="AA188" s="27">
        <v>25</v>
      </c>
      <c r="AB188" s="27" t="s">
        <v>44</v>
      </c>
      <c r="AC188" s="94">
        <v>12.531333333333334</v>
      </c>
      <c r="AD188" s="120" t="s">
        <v>44</v>
      </c>
      <c r="AE188" s="56"/>
      <c r="AF188" s="81">
        <v>0.6</v>
      </c>
      <c r="AG188" s="145">
        <v>0.89442719099991586</v>
      </c>
      <c r="AH188" s="89">
        <v>5</v>
      </c>
      <c r="AI188" s="30">
        <v>4.0816201598111661</v>
      </c>
      <c r="AJ188" s="31">
        <f t="shared" si="17"/>
        <v>4.0816201598111662E-3</v>
      </c>
      <c r="AK188" s="121">
        <v>3.1428199999999999</v>
      </c>
      <c r="AL188" s="121">
        <v>5.9334071156472594E-2</v>
      </c>
      <c r="AM188" s="121">
        <v>0.93880015981116605</v>
      </c>
      <c r="AN188" s="121">
        <v>3.3152601020293111E-2</v>
      </c>
      <c r="AO188" s="30">
        <v>922</v>
      </c>
      <c r="AP188" s="48">
        <v>60.991802727907626</v>
      </c>
      <c r="AQ188" s="30">
        <v>1158</v>
      </c>
      <c r="AR188" s="48">
        <v>61.400325732035007</v>
      </c>
      <c r="AS188" s="30">
        <v>117.60376949131003</v>
      </c>
      <c r="AT188" s="48">
        <v>6.0426397348014804</v>
      </c>
      <c r="AU188" s="30">
        <v>234</v>
      </c>
      <c r="AV188" s="48">
        <v>11.401754250991379</v>
      </c>
      <c r="AW188" s="30">
        <v>3.985529890013825</v>
      </c>
      <c r="AX188" s="30">
        <v>0.58949516938629998</v>
      </c>
      <c r="AY188" s="30">
        <v>2.8997728</v>
      </c>
      <c r="AZ188" s="30">
        <v>1.0857570900138249</v>
      </c>
      <c r="BA188" s="30">
        <v>0.36979411976109716</v>
      </c>
      <c r="BB188" s="30">
        <v>0.21970104962520284</v>
      </c>
      <c r="BC188" s="30">
        <v>0.37591362441202819</v>
      </c>
      <c r="BD188" s="30">
        <v>0.59565307281145663</v>
      </c>
      <c r="BE188" s="41">
        <v>0.29886695524337126</v>
      </c>
      <c r="BF188" s="41"/>
      <c r="BG188" s="27"/>
      <c r="BH188" s="27"/>
      <c r="BI188" s="22"/>
      <c r="BN188" s="81">
        <v>27400</v>
      </c>
      <c r="BO188" s="85">
        <v>24600</v>
      </c>
      <c r="BP188" s="81">
        <v>12900</v>
      </c>
      <c r="BQ188" s="81">
        <v>3120</v>
      </c>
      <c r="BR188" s="29">
        <v>8.4164319764258604</v>
      </c>
      <c r="BS188" s="29">
        <v>30.027695008078307</v>
      </c>
      <c r="BT188" s="29">
        <v>176.48141342065293</v>
      </c>
      <c r="BU188" s="29">
        <v>156.69555501371906</v>
      </c>
      <c r="BV188" s="81">
        <v>6640</v>
      </c>
      <c r="BW188" s="81">
        <v>8060</v>
      </c>
    </row>
    <row r="189" spans="1:75" s="77" customFormat="1">
      <c r="A189" s="116" t="s">
        <v>221</v>
      </c>
      <c r="B189" s="26" t="s">
        <v>100</v>
      </c>
      <c r="C189" s="26" t="s">
        <v>38</v>
      </c>
      <c r="D189" s="26" t="s">
        <v>36</v>
      </c>
      <c r="E189" s="26">
        <v>56</v>
      </c>
      <c r="F189" s="26"/>
      <c r="G189" s="26"/>
      <c r="H189" s="26"/>
      <c r="I189" s="26"/>
      <c r="J189" s="56" t="s">
        <v>47</v>
      </c>
      <c r="K189" s="60">
        <v>5.7</v>
      </c>
      <c r="L189" s="27">
        <v>1.4850000000000001</v>
      </c>
      <c r="M189" s="15" t="s">
        <v>283</v>
      </c>
      <c r="N189" s="94">
        <v>18.805333333333333</v>
      </c>
      <c r="O189" s="27"/>
      <c r="P189" s="27"/>
      <c r="Q189" s="27" t="s">
        <v>42</v>
      </c>
      <c r="R189" s="94">
        <v>18.556000000000001</v>
      </c>
      <c r="S189" s="27"/>
      <c r="T189" s="26" t="s">
        <v>43</v>
      </c>
      <c r="U189" s="27">
        <v>25</v>
      </c>
      <c r="V189" s="26" t="s">
        <v>44</v>
      </c>
      <c r="W189" s="94">
        <v>18.805333333333333</v>
      </c>
      <c r="X189" s="26" t="s">
        <v>44</v>
      </c>
      <c r="Y189" s="26" t="s">
        <v>42</v>
      </c>
      <c r="Z189" s="27" t="s">
        <v>104</v>
      </c>
      <c r="AA189" s="27">
        <v>25</v>
      </c>
      <c r="AB189" s="27" t="s">
        <v>44</v>
      </c>
      <c r="AC189" s="94">
        <v>18.556000000000001</v>
      </c>
      <c r="AD189" s="120" t="s">
        <v>44</v>
      </c>
      <c r="AE189" s="56"/>
      <c r="AF189" s="81">
        <v>0.4</v>
      </c>
      <c r="AG189" s="145">
        <v>0.54772255750516607</v>
      </c>
      <c r="AH189" s="89">
        <v>5</v>
      </c>
      <c r="AI189" s="30">
        <v>3.5229169135938863</v>
      </c>
      <c r="AJ189" s="31">
        <f t="shared" si="17"/>
        <v>3.5229169135938864E-3</v>
      </c>
      <c r="AK189" s="121">
        <v>2.7082799999999998</v>
      </c>
      <c r="AL189" s="121">
        <v>0.10723001911778794</v>
      </c>
      <c r="AM189" s="121">
        <v>0.81463691359388624</v>
      </c>
      <c r="AN189" s="121">
        <v>8.5826940640832003E-2</v>
      </c>
      <c r="AO189" s="30">
        <v>858</v>
      </c>
      <c r="AP189" s="48">
        <v>88.994381845147956</v>
      </c>
      <c r="AQ189" s="30">
        <v>1062</v>
      </c>
      <c r="AR189" s="48">
        <v>74.966659255965254</v>
      </c>
      <c r="AS189" s="30">
        <v>131.9558515594691</v>
      </c>
      <c r="AT189" s="48">
        <v>7.2473477342467127</v>
      </c>
      <c r="AU189" s="30">
        <v>352</v>
      </c>
      <c r="AV189" s="48">
        <v>13.038404810405298</v>
      </c>
      <c r="AW189" s="30">
        <v>3.1863636922470695</v>
      </c>
      <c r="AX189" s="30">
        <v>0.64387554591722063</v>
      </c>
      <c r="AY189" s="30">
        <v>2.3256433999999997</v>
      </c>
      <c r="AZ189" s="30">
        <v>0.86072029224707036</v>
      </c>
      <c r="BA189" s="30">
        <v>0.35692043660739087</v>
      </c>
      <c r="BB189" s="30">
        <v>0.28695510930982987</v>
      </c>
      <c r="BC189" s="30">
        <v>0.37550106967202962</v>
      </c>
      <c r="BD189" s="30">
        <v>0.80267135092967834</v>
      </c>
      <c r="BE189" s="41">
        <v>0.30119671619631683</v>
      </c>
      <c r="BF189" s="41"/>
      <c r="BG189" s="27"/>
      <c r="BH189" s="27"/>
      <c r="BI189" s="22"/>
      <c r="BN189" s="81">
        <v>28000</v>
      </c>
      <c r="BO189" s="85">
        <v>25200</v>
      </c>
      <c r="BP189" s="81">
        <v>12860</v>
      </c>
      <c r="BQ189" s="81">
        <v>3220</v>
      </c>
      <c r="BR189" s="29">
        <v>8.8923154459592748</v>
      </c>
      <c r="BS189" s="29">
        <v>27.971762023240849</v>
      </c>
      <c r="BT189" s="29">
        <v>178.535246062049</v>
      </c>
      <c r="BU189" s="29">
        <v>151.57148710210558</v>
      </c>
      <c r="BV189" s="81">
        <v>6740</v>
      </c>
      <c r="BW189" s="81">
        <v>7860</v>
      </c>
    </row>
    <row r="190" spans="1:75" s="77" customFormat="1">
      <c r="A190" s="116" t="s">
        <v>221</v>
      </c>
      <c r="B190" s="78" t="s">
        <v>100</v>
      </c>
      <c r="C190" s="78" t="s">
        <v>38</v>
      </c>
      <c r="D190" s="78" t="s">
        <v>36</v>
      </c>
      <c r="E190" s="78">
        <v>56</v>
      </c>
      <c r="F190" s="78"/>
      <c r="G190" s="78"/>
      <c r="H190" s="78"/>
      <c r="I190" s="78"/>
      <c r="J190" s="97" t="s">
        <v>47</v>
      </c>
      <c r="K190" s="98">
        <v>5.7</v>
      </c>
      <c r="L190" s="42">
        <v>1.4850000000000001</v>
      </c>
      <c r="M190" s="15" t="s">
        <v>283</v>
      </c>
      <c r="N190" s="127">
        <v>17.755733333333335</v>
      </c>
      <c r="O190" s="42"/>
      <c r="P190" s="42"/>
      <c r="Q190" s="42" t="s">
        <v>42</v>
      </c>
      <c r="R190" s="127">
        <v>16.087333333333333</v>
      </c>
      <c r="S190" s="42"/>
      <c r="T190" s="78" t="s">
        <v>43</v>
      </c>
      <c r="U190" s="42">
        <v>25</v>
      </c>
      <c r="V190" s="78" t="s">
        <v>44</v>
      </c>
      <c r="W190" s="127">
        <v>17.755733333333335</v>
      </c>
      <c r="X190" s="78" t="s">
        <v>44</v>
      </c>
      <c r="Y190" s="78" t="s">
        <v>42</v>
      </c>
      <c r="Z190" s="42" t="s">
        <v>105</v>
      </c>
      <c r="AA190" s="42">
        <v>25</v>
      </c>
      <c r="AB190" s="42" t="s">
        <v>44</v>
      </c>
      <c r="AC190" s="127">
        <v>16.087333333333333</v>
      </c>
      <c r="AD190" s="128" t="s">
        <v>44</v>
      </c>
      <c r="AE190" s="97"/>
      <c r="AF190" s="124">
        <v>0</v>
      </c>
      <c r="AG190" s="145">
        <v>0</v>
      </c>
      <c r="AH190" s="129">
        <v>5</v>
      </c>
      <c r="AI190" s="130">
        <v>4.0178702025255966</v>
      </c>
      <c r="AJ190" s="131">
        <f t="shared" si="17"/>
        <v>4.0178702025255968E-3</v>
      </c>
      <c r="AK190" s="132">
        <v>3.10738</v>
      </c>
      <c r="AL190" s="132">
        <v>0.19908390693373237</v>
      </c>
      <c r="AM190" s="132">
        <v>0.91049020252559687</v>
      </c>
      <c r="AN190" s="132">
        <v>4.434153731965583E-2</v>
      </c>
      <c r="AO190" s="130">
        <v>1012</v>
      </c>
      <c r="AP190" s="48">
        <v>16.431676725154983</v>
      </c>
      <c r="AQ190" s="130">
        <v>1204</v>
      </c>
      <c r="AR190" s="48">
        <v>29.664793948382652</v>
      </c>
      <c r="AS190" s="130">
        <v>165.1677701445075</v>
      </c>
      <c r="AT190" s="48">
        <v>11.285319546131563</v>
      </c>
      <c r="AU190" s="130">
        <v>516</v>
      </c>
      <c r="AV190" s="48">
        <v>38.470768123342687</v>
      </c>
      <c r="AW190" s="130">
        <v>4.2410403863819077</v>
      </c>
      <c r="AX190" s="130">
        <v>0.98087586735410992</v>
      </c>
      <c r="AY190" s="130">
        <v>3.1455047999999999</v>
      </c>
      <c r="AZ190" s="130">
        <v>1.0955355863819078</v>
      </c>
      <c r="BA190" s="130">
        <v>0.51194070941199077</v>
      </c>
      <c r="BB190" s="130">
        <v>0.46893515794211915</v>
      </c>
      <c r="BC190" s="130">
        <v>0.34979911367055394</v>
      </c>
      <c r="BD190" s="130">
        <v>0.91738920141370284</v>
      </c>
      <c r="BE190" s="133">
        <v>0.29416535331917515</v>
      </c>
      <c r="BF190" s="133"/>
      <c r="BG190" s="42"/>
      <c r="BH190" s="42"/>
      <c r="BI190" s="22"/>
      <c r="BN190" s="124">
        <v>27600</v>
      </c>
      <c r="BO190" s="125">
        <v>25400</v>
      </c>
      <c r="BP190" s="124">
        <v>12280</v>
      </c>
      <c r="BQ190" s="124">
        <v>3060</v>
      </c>
      <c r="BR190" s="126">
        <v>8.4994976876297628</v>
      </c>
      <c r="BS190" s="126">
        <v>31.274793672280744</v>
      </c>
      <c r="BT190" s="126">
        <v>172.65561793278067</v>
      </c>
      <c r="BU190" s="126">
        <v>165.41420412883119</v>
      </c>
      <c r="BV190" s="124">
        <v>6180</v>
      </c>
      <c r="BW190" s="124">
        <v>8460</v>
      </c>
    </row>
    <row r="191" spans="1:75" s="15" customFormat="1">
      <c r="A191" s="68" t="s">
        <v>222</v>
      </c>
      <c r="B191" s="14"/>
      <c r="C191" s="14" t="s">
        <v>35</v>
      </c>
      <c r="D191" s="14" t="s">
        <v>60</v>
      </c>
      <c r="E191" s="14">
        <v>36</v>
      </c>
      <c r="F191" s="14"/>
      <c r="G191" s="14"/>
      <c r="H191" s="14"/>
      <c r="I191" s="14"/>
      <c r="T191" s="14"/>
      <c r="U191" s="14"/>
      <c r="V191" s="14"/>
      <c r="W191" s="14"/>
      <c r="X191" s="14"/>
      <c r="Y191" s="14"/>
      <c r="AF191" s="134">
        <v>23</v>
      </c>
      <c r="AG191" s="15">
        <v>3.6749999999999998</v>
      </c>
      <c r="AH191" s="15">
        <v>6</v>
      </c>
      <c r="AW191" s="71"/>
    </row>
    <row r="192" spans="1:75" s="15" customFormat="1">
      <c r="A192" s="68" t="s">
        <v>222</v>
      </c>
      <c r="B192" s="14"/>
      <c r="C192" s="14" t="s">
        <v>38</v>
      </c>
      <c r="D192" s="14" t="s">
        <v>60</v>
      </c>
      <c r="E192" s="14">
        <v>36</v>
      </c>
      <c r="F192" s="14"/>
      <c r="G192" s="14"/>
      <c r="H192" s="14"/>
      <c r="I192" s="14"/>
      <c r="T192" s="14"/>
      <c r="U192" s="14"/>
      <c r="V192" s="14"/>
      <c r="W192" s="14"/>
      <c r="X192" s="14"/>
      <c r="Y192" s="14"/>
      <c r="AF192" s="134">
        <v>0</v>
      </c>
      <c r="AG192" s="15">
        <v>0</v>
      </c>
      <c r="AH192" s="15">
        <v>6</v>
      </c>
      <c r="AW192" s="71"/>
    </row>
    <row r="193" spans="1:75" s="27" customFormat="1">
      <c r="A193" s="116" t="s">
        <v>215</v>
      </c>
      <c r="B193" s="26"/>
      <c r="C193" s="26" t="s">
        <v>35</v>
      </c>
      <c r="D193" s="26" t="s">
        <v>36</v>
      </c>
      <c r="E193" s="15" t="s">
        <v>132</v>
      </c>
      <c r="F193" s="28" t="s">
        <v>83</v>
      </c>
      <c r="G193" s="26"/>
      <c r="H193" s="26"/>
      <c r="I193" s="26"/>
      <c r="T193" s="26"/>
      <c r="U193" s="26"/>
      <c r="V193" s="26"/>
      <c r="W193" s="26"/>
      <c r="X193" s="26"/>
      <c r="Y193" s="26"/>
      <c r="AF193" s="27">
        <v>58.1</v>
      </c>
      <c r="AG193" s="15" t="s">
        <v>132</v>
      </c>
      <c r="AH193" s="27">
        <v>4</v>
      </c>
      <c r="AW193" s="135"/>
      <c r="AX193" s="29"/>
      <c r="AY193" s="29"/>
    </row>
    <row r="194" spans="1:75" s="27" customFormat="1">
      <c r="A194" s="116" t="s">
        <v>215</v>
      </c>
      <c r="B194" s="26"/>
      <c r="C194" s="26" t="s">
        <v>38</v>
      </c>
      <c r="D194" s="26" t="s">
        <v>36</v>
      </c>
      <c r="E194" s="15" t="s">
        <v>132</v>
      </c>
      <c r="F194" s="28" t="s">
        <v>83</v>
      </c>
      <c r="G194" s="26"/>
      <c r="H194" s="26"/>
      <c r="I194" s="26"/>
      <c r="T194" s="26"/>
      <c r="U194" s="26"/>
      <c r="V194" s="26"/>
      <c r="W194" s="26"/>
      <c r="X194" s="26"/>
      <c r="Y194" s="26"/>
      <c r="AF194" s="27">
        <v>16.3</v>
      </c>
      <c r="AG194" s="15" t="s">
        <v>132</v>
      </c>
      <c r="AH194" s="27">
        <v>4</v>
      </c>
      <c r="AW194" s="135"/>
      <c r="AX194" s="29"/>
      <c r="AY194" s="29"/>
    </row>
    <row r="195" spans="1:75" s="27" customFormat="1">
      <c r="A195" s="116" t="s">
        <v>215</v>
      </c>
      <c r="B195" s="26"/>
      <c r="C195" s="26" t="s">
        <v>35</v>
      </c>
      <c r="D195" s="26" t="s">
        <v>36</v>
      </c>
      <c r="E195" s="15" t="s">
        <v>132</v>
      </c>
      <c r="F195" s="26" t="s">
        <v>106</v>
      </c>
      <c r="G195" s="26"/>
      <c r="H195" s="26"/>
      <c r="I195" s="26"/>
      <c r="T195" s="26"/>
      <c r="U195" s="26"/>
      <c r="V195" s="26"/>
      <c r="W195" s="26"/>
      <c r="X195" s="26"/>
      <c r="Y195" s="26"/>
      <c r="AF195" s="27">
        <v>65.7</v>
      </c>
      <c r="AG195" s="15" t="s">
        <v>132</v>
      </c>
      <c r="AH195" s="27">
        <v>4</v>
      </c>
      <c r="AW195" s="135"/>
      <c r="AX195" s="29"/>
      <c r="AY195" s="29"/>
    </row>
    <row r="196" spans="1:75" s="27" customFormat="1">
      <c r="A196" s="116" t="s">
        <v>215</v>
      </c>
      <c r="B196" s="26"/>
      <c r="C196" s="26" t="s">
        <v>38</v>
      </c>
      <c r="D196" s="26" t="s">
        <v>36</v>
      </c>
      <c r="E196" s="15" t="s">
        <v>132</v>
      </c>
      <c r="F196" s="26" t="s">
        <v>106</v>
      </c>
      <c r="G196" s="26"/>
      <c r="H196" s="26"/>
      <c r="I196" s="26"/>
      <c r="T196" s="26"/>
      <c r="U196" s="26"/>
      <c r="V196" s="26"/>
      <c r="W196" s="26"/>
      <c r="X196" s="26"/>
      <c r="Y196" s="26"/>
      <c r="AF196" s="27">
        <v>6.7</v>
      </c>
      <c r="AG196" s="15" t="s">
        <v>132</v>
      </c>
      <c r="AH196" s="27">
        <v>4</v>
      </c>
      <c r="AW196" s="135"/>
      <c r="AX196" s="29"/>
      <c r="AY196" s="29"/>
    </row>
    <row r="197" spans="1:75" s="27" customFormat="1">
      <c r="A197" s="116" t="s">
        <v>215</v>
      </c>
      <c r="B197" s="26"/>
      <c r="C197" s="26" t="s">
        <v>35</v>
      </c>
      <c r="D197" s="26" t="s">
        <v>36</v>
      </c>
      <c r="E197" s="15" t="s">
        <v>132</v>
      </c>
      <c r="F197" s="26" t="s">
        <v>88</v>
      </c>
      <c r="G197" s="26"/>
      <c r="H197" s="26"/>
      <c r="I197" s="26"/>
      <c r="T197" s="26"/>
      <c r="U197" s="26"/>
      <c r="V197" s="26"/>
      <c r="W197" s="26"/>
      <c r="X197" s="26"/>
      <c r="Y197" s="26"/>
      <c r="AF197" s="27">
        <v>93.3</v>
      </c>
      <c r="AG197" s="15" t="s">
        <v>132</v>
      </c>
      <c r="AH197" s="27">
        <v>4</v>
      </c>
      <c r="AW197" s="135"/>
      <c r="AX197" s="29"/>
      <c r="AY197" s="29"/>
    </row>
    <row r="198" spans="1:75" s="27" customFormat="1">
      <c r="A198" s="116" t="s">
        <v>215</v>
      </c>
      <c r="B198" s="116"/>
      <c r="C198" s="26" t="s">
        <v>38</v>
      </c>
      <c r="D198" s="26" t="s">
        <v>36</v>
      </c>
      <c r="E198" s="15" t="s">
        <v>132</v>
      </c>
      <c r="F198" s="26" t="s">
        <v>88</v>
      </c>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36">
        <v>29</v>
      </c>
      <c r="AG198" s="15" t="s">
        <v>132</v>
      </c>
      <c r="AH198" s="27">
        <v>4</v>
      </c>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N198" s="116"/>
      <c r="BO198" s="116"/>
      <c r="BP198" s="116"/>
      <c r="BQ198" s="116"/>
      <c r="BR198" s="116"/>
      <c r="BS198" s="116"/>
      <c r="BT198" s="116"/>
      <c r="BU198" s="116"/>
      <c r="BV198" s="116"/>
      <c r="BW198" s="116"/>
    </row>
    <row r="199" spans="1:75" s="15" customFormat="1">
      <c r="A199" s="68" t="s">
        <v>223</v>
      </c>
      <c r="B199" s="14"/>
      <c r="C199" s="14" t="s">
        <v>35</v>
      </c>
      <c r="D199" s="14" t="s">
        <v>86</v>
      </c>
      <c r="E199" s="14">
        <v>84</v>
      </c>
      <c r="F199" s="14"/>
      <c r="G199" s="14"/>
      <c r="H199" s="14"/>
      <c r="I199" s="14"/>
      <c r="T199" s="14"/>
      <c r="U199" s="14"/>
      <c r="V199" s="14"/>
      <c r="W199" s="14"/>
      <c r="X199" s="14"/>
      <c r="Y199" s="14"/>
      <c r="AF199" s="15">
        <v>28</v>
      </c>
      <c r="AG199" s="15" t="s">
        <v>132</v>
      </c>
      <c r="AH199" s="15">
        <v>10</v>
      </c>
      <c r="AW199" s="71"/>
      <c r="AX199" s="43"/>
      <c r="AY199" s="43"/>
    </row>
    <row r="200" spans="1:75" s="15" customFormat="1">
      <c r="A200" s="68" t="s">
        <v>223</v>
      </c>
      <c r="B200" s="14"/>
      <c r="C200" s="14" t="s">
        <v>38</v>
      </c>
      <c r="D200" s="14" t="s">
        <v>36</v>
      </c>
      <c r="E200" s="14">
        <v>84</v>
      </c>
      <c r="F200" s="14"/>
      <c r="G200" s="14"/>
      <c r="H200" s="14"/>
      <c r="I200" s="14"/>
      <c r="T200" s="14"/>
      <c r="U200" s="14"/>
      <c r="V200" s="14"/>
      <c r="W200" s="14"/>
      <c r="X200" s="14"/>
      <c r="Y200" s="14"/>
      <c r="AF200" s="15">
        <v>0</v>
      </c>
      <c r="AG200" s="15" t="s">
        <v>132</v>
      </c>
      <c r="AH200" s="15">
        <v>10</v>
      </c>
      <c r="AW200" s="71"/>
      <c r="AX200" s="43"/>
      <c r="AY200" s="43"/>
    </row>
    <row r="201" spans="1:75" s="77" customFormat="1">
      <c r="A201" s="116" t="s">
        <v>224</v>
      </c>
      <c r="B201" s="26"/>
      <c r="C201" s="26" t="s">
        <v>35</v>
      </c>
      <c r="D201" s="26" t="s">
        <v>86</v>
      </c>
      <c r="E201" s="26">
        <v>70</v>
      </c>
      <c r="F201" s="26"/>
      <c r="G201" s="26"/>
      <c r="H201" s="26"/>
      <c r="I201" s="26"/>
      <c r="J201" s="27"/>
      <c r="K201" s="27"/>
      <c r="L201" s="27"/>
      <c r="M201" s="27"/>
      <c r="N201" s="27"/>
      <c r="O201" s="27"/>
      <c r="P201" s="27"/>
      <c r="Q201" s="27"/>
      <c r="R201" s="27"/>
      <c r="S201" s="27"/>
      <c r="T201" s="26"/>
      <c r="U201" s="26"/>
      <c r="V201" s="26"/>
      <c r="W201" s="26"/>
      <c r="X201" s="26"/>
      <c r="Y201" s="26"/>
      <c r="Z201" s="27"/>
      <c r="AA201" s="27"/>
      <c r="AB201" s="27"/>
      <c r="AC201" s="27"/>
      <c r="AD201" s="27"/>
      <c r="AE201" s="27"/>
      <c r="AF201" s="27">
        <v>52.25</v>
      </c>
      <c r="AG201" s="27">
        <v>8</v>
      </c>
      <c r="AH201" s="27">
        <v>4</v>
      </c>
      <c r="AI201" s="27">
        <f>AK201+AM201</f>
        <v>3.87</v>
      </c>
      <c r="AJ201" s="27">
        <f>AK201+AM201</f>
        <v>3.87</v>
      </c>
      <c r="AK201" s="27">
        <v>3.29</v>
      </c>
      <c r="AL201" s="27"/>
      <c r="AM201" s="27">
        <v>0.57999999999999996</v>
      </c>
      <c r="AN201" s="27"/>
      <c r="AO201" s="27"/>
      <c r="AP201" s="27"/>
      <c r="AQ201" s="27"/>
      <c r="AR201" s="27"/>
      <c r="AS201" s="27"/>
      <c r="AT201" s="27"/>
      <c r="AU201" s="27"/>
      <c r="AV201" s="27"/>
      <c r="AW201" s="135"/>
      <c r="AX201" s="29"/>
      <c r="AY201" s="29"/>
      <c r="AZ201" s="27"/>
      <c r="BA201" s="27"/>
      <c r="BB201" s="27"/>
      <c r="BC201" s="27"/>
      <c r="BD201" s="27"/>
      <c r="BE201" s="27"/>
      <c r="BF201" s="27">
        <f>(AJ201-AJ202)/AJ202*100</f>
        <v>13.823529411764712</v>
      </c>
      <c r="BG201" s="27"/>
      <c r="BH201" s="27"/>
      <c r="BI201" s="137"/>
      <c r="BN201" s="27"/>
      <c r="BO201" s="27"/>
      <c r="BP201" s="27"/>
      <c r="BQ201" s="27"/>
      <c r="BR201" s="27"/>
      <c r="BS201" s="27"/>
      <c r="BT201" s="27"/>
      <c r="BU201" s="27"/>
      <c r="BV201" s="27"/>
      <c r="BW201" s="27"/>
    </row>
    <row r="202" spans="1:75" s="77" customFormat="1">
      <c r="A202" s="116" t="s">
        <v>224</v>
      </c>
      <c r="B202" s="26"/>
      <c r="C202" s="26" t="s">
        <v>38</v>
      </c>
      <c r="D202" s="26" t="s">
        <v>36</v>
      </c>
      <c r="E202" s="26">
        <v>70</v>
      </c>
      <c r="F202" s="26"/>
      <c r="G202" s="26"/>
      <c r="H202" s="26"/>
      <c r="I202" s="26"/>
      <c r="J202" s="27"/>
      <c r="K202" s="27"/>
      <c r="L202" s="27"/>
      <c r="M202" s="27"/>
      <c r="N202" s="27"/>
      <c r="O202" s="27"/>
      <c r="P202" s="27"/>
      <c r="Q202" s="27"/>
      <c r="R202" s="27"/>
      <c r="S202" s="27"/>
      <c r="T202" s="26"/>
      <c r="U202" s="26"/>
      <c r="V202" s="26"/>
      <c r="W202" s="26"/>
      <c r="X202" s="26"/>
      <c r="Y202" s="26"/>
      <c r="Z202" s="27"/>
      <c r="AA202" s="27"/>
      <c r="AB202" s="27"/>
      <c r="AC202" s="27"/>
      <c r="AD202" s="27"/>
      <c r="AE202" s="27"/>
      <c r="AF202" s="27">
        <v>0</v>
      </c>
      <c r="AG202" s="27">
        <v>8</v>
      </c>
      <c r="AH202" s="27">
        <v>3</v>
      </c>
      <c r="AI202" s="27">
        <f>AK202+AM202</f>
        <v>3.4</v>
      </c>
      <c r="AJ202" s="27">
        <f>AK202+AM202</f>
        <v>3.4</v>
      </c>
      <c r="AK202" s="27">
        <v>2.82</v>
      </c>
      <c r="AL202" s="27"/>
      <c r="AM202" s="27">
        <v>0.57999999999999996</v>
      </c>
      <c r="AN202" s="27"/>
      <c r="AO202" s="27"/>
      <c r="AP202" s="27"/>
      <c r="AQ202" s="27"/>
      <c r="AR202" s="27"/>
      <c r="AS202" s="27"/>
      <c r="AT202" s="27"/>
      <c r="AU202" s="27"/>
      <c r="AV202" s="27"/>
      <c r="AW202" s="135"/>
      <c r="AX202" s="29"/>
      <c r="AY202" s="29"/>
      <c r="AZ202" s="27"/>
      <c r="BA202" s="27"/>
      <c r="BB202" s="27"/>
      <c r="BC202" s="27"/>
      <c r="BD202" s="27"/>
      <c r="BE202" s="27"/>
      <c r="BF202" s="27"/>
      <c r="BG202" s="27"/>
      <c r="BH202" s="27"/>
      <c r="BI202" s="137"/>
      <c r="BN202" s="27"/>
      <c r="BO202" s="27"/>
      <c r="BP202" s="27"/>
      <c r="BQ202" s="27"/>
      <c r="BR202" s="27"/>
      <c r="BS202" s="27"/>
      <c r="BT202" s="27"/>
      <c r="BU202" s="27"/>
      <c r="BV202" s="27"/>
      <c r="BW202" s="27"/>
    </row>
    <row r="203" spans="1:75">
      <c r="AX203" s="142"/>
      <c r="AY203" s="142"/>
      <c r="BC203" s="22"/>
      <c r="BD203" s="22"/>
      <c r="BF203" s="22"/>
    </row>
    <row r="204" spans="1:75">
      <c r="AX204" s="53"/>
      <c r="AY204" s="53"/>
      <c r="BC204" s="22"/>
      <c r="BD204" s="22"/>
      <c r="BF204" s="22"/>
    </row>
    <row r="205" spans="1:75">
      <c r="AX205" s="53"/>
      <c r="AY205" s="53"/>
      <c r="BC205" s="22"/>
      <c r="BD205" s="22"/>
      <c r="BF205" s="22"/>
    </row>
    <row r="206" spans="1:75">
      <c r="BC206" s="22"/>
      <c r="BD206" s="22"/>
      <c r="BF206" s="22"/>
    </row>
    <row r="207" spans="1:75">
      <c r="BC207" s="22"/>
      <c r="BD207" s="22"/>
      <c r="BF207" s="22"/>
    </row>
    <row r="208" spans="1:75">
      <c r="BC208" s="22"/>
      <c r="BD208" s="22"/>
      <c r="BF208" s="22"/>
    </row>
    <row r="209" spans="55:58">
      <c r="BC209" s="22"/>
      <c r="BD209" s="22"/>
      <c r="BF209" s="22"/>
    </row>
    <row r="210" spans="55:58">
      <c r="BC210" s="22"/>
      <c r="BD210" s="22"/>
      <c r="BF210" s="22"/>
    </row>
    <row r="211" spans="55:58">
      <c r="BC211" s="22"/>
      <c r="BD211" s="22"/>
      <c r="BF211" s="22"/>
    </row>
    <row r="212" spans="55:58">
      <c r="BC212" s="22"/>
      <c r="BD212" s="22"/>
      <c r="BF212" s="22"/>
    </row>
    <row r="213" spans="55:58">
      <c r="BC213" s="22"/>
      <c r="BD213" s="22"/>
      <c r="BF213" s="22"/>
    </row>
    <row r="214" spans="55:58">
      <c r="BC214" s="22"/>
      <c r="BD214" s="22"/>
      <c r="BF214" s="22"/>
    </row>
    <row r="215" spans="55:58">
      <c r="BC215" s="22"/>
      <c r="BD215" s="22"/>
      <c r="BF215" s="22"/>
    </row>
    <row r="216" spans="55:58">
      <c r="BC216" s="22"/>
      <c r="BD216" s="22"/>
      <c r="BF216" s="22"/>
    </row>
    <row r="217" spans="55:58">
      <c r="BC217" s="22"/>
      <c r="BD217" s="22"/>
      <c r="BF217" s="22"/>
    </row>
    <row r="218" spans="55:58">
      <c r="BC218" s="22"/>
      <c r="BD218" s="22"/>
      <c r="BF218" s="22"/>
    </row>
    <row r="219" spans="55:58">
      <c r="BC219" s="22"/>
      <c r="BD219" s="22"/>
      <c r="BF219" s="22"/>
    </row>
    <row r="220" spans="55:58">
      <c r="BC220" s="22"/>
      <c r="BD220" s="22"/>
      <c r="BF220" s="22"/>
    </row>
    <row r="221" spans="55:58">
      <c r="BC221" s="22"/>
      <c r="BD221" s="22"/>
      <c r="BF221" s="22"/>
    </row>
    <row r="222" spans="55:58">
      <c r="BC222" s="22"/>
      <c r="BD222" s="22"/>
      <c r="BF222" s="22"/>
    </row>
    <row r="223" spans="55:58">
      <c r="BC223" s="22"/>
      <c r="BD223" s="22"/>
      <c r="BF223" s="22"/>
    </row>
    <row r="224" spans="55:58">
      <c r="BC224" s="22"/>
      <c r="BD224" s="22"/>
      <c r="BF224" s="22"/>
    </row>
    <row r="225" spans="55:58">
      <c r="BC225" s="22"/>
      <c r="BD225" s="22"/>
      <c r="BF225" s="22"/>
    </row>
    <row r="226" spans="55:58">
      <c r="BC226" s="22"/>
      <c r="BD226" s="22"/>
      <c r="BF226" s="22"/>
    </row>
    <row r="227" spans="55:58">
      <c r="BC227" s="22"/>
      <c r="BD227" s="22"/>
      <c r="BF227" s="22"/>
    </row>
    <row r="228" spans="55:58">
      <c r="BC228" s="22"/>
      <c r="BD228" s="22"/>
      <c r="BF228" s="22"/>
    </row>
    <row r="229" spans="55:58">
      <c r="BC229" s="22"/>
      <c r="BD229" s="22"/>
      <c r="BF229" s="22"/>
    </row>
    <row r="230" spans="55:58">
      <c r="BC230" s="22"/>
      <c r="BD230" s="22"/>
      <c r="BF230" s="22"/>
    </row>
    <row r="231" spans="55:58">
      <c r="BC231" s="22"/>
      <c r="BD231" s="22"/>
      <c r="BF231" s="22"/>
    </row>
    <row r="232" spans="55:58">
      <c r="BC232" s="22"/>
      <c r="BD232" s="22"/>
      <c r="BF232" s="22"/>
    </row>
    <row r="233" spans="55:58">
      <c r="BC233" s="22"/>
      <c r="BD233" s="22"/>
      <c r="BF233" s="22"/>
    </row>
    <row r="234" spans="55:58">
      <c r="BC234" s="22"/>
      <c r="BD234" s="22"/>
      <c r="BF234" s="22"/>
    </row>
    <row r="235" spans="55:58">
      <c r="BC235" s="22"/>
      <c r="BD235" s="22"/>
      <c r="BF235" s="22"/>
    </row>
    <row r="236" spans="55:58">
      <c r="BC236" s="22"/>
      <c r="BD236" s="22"/>
      <c r="BF236" s="22"/>
    </row>
    <row r="237" spans="55:58">
      <c r="BC237" s="22"/>
      <c r="BD237" s="22"/>
      <c r="BF237" s="22"/>
    </row>
    <row r="238" spans="55:58">
      <c r="BC238" s="22"/>
      <c r="BD238" s="22"/>
      <c r="BF238" s="22"/>
    </row>
    <row r="239" spans="55:58">
      <c r="BC239" s="22"/>
      <c r="BD239" s="22"/>
      <c r="BF239" s="22"/>
    </row>
  </sheetData>
  <mergeCells count="10">
    <mergeCell ref="AO1:BW1"/>
    <mergeCell ref="AI1:AN1"/>
    <mergeCell ref="K1:R1"/>
    <mergeCell ref="G1:G2"/>
    <mergeCell ref="H1:H2"/>
    <mergeCell ref="I1:I2"/>
    <mergeCell ref="T1:Y1"/>
    <mergeCell ref="Z1:AD1"/>
    <mergeCell ref="AE1:AE2"/>
    <mergeCell ref="AF1:AH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100"/>
  <sheetViews>
    <sheetView workbookViewId="0">
      <selection activeCell="G10" sqref="G10"/>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5" width="10.83203125" style="152"/>
  </cols>
  <sheetData>
    <row r="1" spans="1:15">
      <c r="A1" s="150" t="s">
        <v>112</v>
      </c>
      <c r="B1" s="150" t="s">
        <v>113</v>
      </c>
      <c r="C1" s="150" t="s">
        <v>114</v>
      </c>
      <c r="D1" s="150" t="s">
        <v>225</v>
      </c>
      <c r="E1" s="150" t="s">
        <v>232</v>
      </c>
      <c r="F1" s="150" t="s">
        <v>226</v>
      </c>
      <c r="G1" s="150" t="s">
        <v>236</v>
      </c>
      <c r="H1" s="150" t="s">
        <v>170</v>
      </c>
      <c r="I1" s="150" t="s">
        <v>237</v>
      </c>
      <c r="J1" s="150" t="s">
        <v>238</v>
      </c>
      <c r="K1" s="150" t="s">
        <v>286</v>
      </c>
      <c r="L1" s="150" t="s">
        <v>315</v>
      </c>
      <c r="M1" s="150" t="s">
        <v>316</v>
      </c>
      <c r="N1" s="150" t="s">
        <v>317</v>
      </c>
      <c r="O1" s="150" t="s">
        <v>318</v>
      </c>
    </row>
    <row r="2" spans="1:15">
      <c r="A2" s="150" t="s">
        <v>119</v>
      </c>
      <c r="B2" s="150">
        <v>3</v>
      </c>
      <c r="C2" s="150">
        <v>3</v>
      </c>
      <c r="D2" s="150" t="s">
        <v>233</v>
      </c>
      <c r="E2" s="150" t="s">
        <v>229</v>
      </c>
      <c r="F2" s="150">
        <v>42</v>
      </c>
      <c r="G2" s="150" t="s">
        <v>234</v>
      </c>
      <c r="H2" s="150" t="s">
        <v>136</v>
      </c>
      <c r="I2" s="150" t="s">
        <v>132</v>
      </c>
      <c r="J2" s="150" t="s">
        <v>132</v>
      </c>
      <c r="K2" s="150" t="s">
        <v>132</v>
      </c>
      <c r="L2" s="190" t="s">
        <v>132</v>
      </c>
      <c r="M2" s="190" t="s">
        <v>132</v>
      </c>
      <c r="N2" s="190" t="s">
        <v>132</v>
      </c>
      <c r="O2" s="190" t="s">
        <v>132</v>
      </c>
    </row>
    <row r="3" spans="1:15">
      <c r="A3" s="150" t="s">
        <v>119</v>
      </c>
      <c r="B3" s="150">
        <v>3</v>
      </c>
      <c r="C3" s="150">
        <v>3</v>
      </c>
      <c r="D3" s="150" t="s">
        <v>233</v>
      </c>
      <c r="E3" s="150" t="s">
        <v>229</v>
      </c>
      <c r="F3" s="150">
        <v>42</v>
      </c>
      <c r="G3" s="150" t="s">
        <v>234</v>
      </c>
      <c r="H3" s="150" t="s">
        <v>136</v>
      </c>
      <c r="I3" s="150" t="s">
        <v>132</v>
      </c>
      <c r="J3" s="150" t="s">
        <v>132</v>
      </c>
      <c r="K3" s="150" t="s">
        <v>132</v>
      </c>
      <c r="L3" s="190" t="s">
        <v>132</v>
      </c>
      <c r="M3" s="190" t="s">
        <v>132</v>
      </c>
      <c r="N3" s="190" t="s">
        <v>132</v>
      </c>
      <c r="O3" s="190" t="s">
        <v>132</v>
      </c>
    </row>
    <row r="4" spans="1:15">
      <c r="A4" s="150" t="s">
        <v>120</v>
      </c>
      <c r="B4" s="150">
        <v>5</v>
      </c>
      <c r="C4" s="150">
        <v>5</v>
      </c>
      <c r="D4" s="150" t="s">
        <v>231</v>
      </c>
      <c r="E4" s="150" t="s">
        <v>231</v>
      </c>
      <c r="F4" s="150">
        <v>63</v>
      </c>
      <c r="G4" s="150" t="s">
        <v>234</v>
      </c>
      <c r="H4" s="150" t="s">
        <v>136</v>
      </c>
      <c r="I4" s="150" t="s">
        <v>239</v>
      </c>
      <c r="J4" s="150" t="s">
        <v>239</v>
      </c>
      <c r="K4" s="150" t="s">
        <v>284</v>
      </c>
      <c r="L4" s="190" t="s">
        <v>132</v>
      </c>
      <c r="M4" s="190" t="s">
        <v>132</v>
      </c>
      <c r="N4" s="190" t="s">
        <v>132</v>
      </c>
      <c r="O4" s="190" t="s">
        <v>132</v>
      </c>
    </row>
    <row r="5" spans="1:15">
      <c r="A5" s="150" t="s">
        <v>120</v>
      </c>
      <c r="B5" s="150">
        <v>5</v>
      </c>
      <c r="C5" s="150">
        <v>5</v>
      </c>
      <c r="D5" s="150" t="s">
        <v>231</v>
      </c>
      <c r="E5" s="150" t="s">
        <v>231</v>
      </c>
      <c r="F5" s="150">
        <v>63</v>
      </c>
      <c r="G5" s="150" t="s">
        <v>234</v>
      </c>
      <c r="H5" s="150" t="s">
        <v>136</v>
      </c>
      <c r="I5" s="150" t="s">
        <v>239</v>
      </c>
      <c r="J5" s="150" t="s">
        <v>239</v>
      </c>
      <c r="K5" s="150" t="s">
        <v>284</v>
      </c>
      <c r="L5" s="190" t="s">
        <v>132</v>
      </c>
      <c r="M5" s="190" t="s">
        <v>132</v>
      </c>
      <c r="N5" s="190" t="s">
        <v>132</v>
      </c>
      <c r="O5" s="190" t="s">
        <v>132</v>
      </c>
    </row>
    <row r="6" spans="1:15">
      <c r="A6" s="150" t="s">
        <v>120</v>
      </c>
      <c r="B6" s="150">
        <v>5</v>
      </c>
      <c r="C6" s="150">
        <v>5</v>
      </c>
      <c r="D6" s="150" t="s">
        <v>231</v>
      </c>
      <c r="E6" s="150" t="s">
        <v>231</v>
      </c>
      <c r="F6" s="150">
        <v>63</v>
      </c>
      <c r="G6" s="150" t="s">
        <v>234</v>
      </c>
      <c r="H6" s="150" t="s">
        <v>136</v>
      </c>
      <c r="I6" s="150" t="s">
        <v>239</v>
      </c>
      <c r="J6" s="150" t="s">
        <v>239</v>
      </c>
      <c r="K6" s="150" t="s">
        <v>284</v>
      </c>
      <c r="L6" s="190" t="s">
        <v>132</v>
      </c>
      <c r="M6" s="190" t="s">
        <v>132</v>
      </c>
      <c r="N6" s="190" t="s">
        <v>132</v>
      </c>
      <c r="O6" s="190" t="s">
        <v>132</v>
      </c>
    </row>
    <row r="7" spans="1:15">
      <c r="A7" s="150" t="s">
        <v>120</v>
      </c>
      <c r="B7" s="150">
        <v>5</v>
      </c>
      <c r="C7" s="150">
        <v>5</v>
      </c>
      <c r="D7" s="150" t="s">
        <v>231</v>
      </c>
      <c r="E7" s="150" t="s">
        <v>231</v>
      </c>
      <c r="F7" s="150">
        <v>63</v>
      </c>
      <c r="G7" s="150" t="s">
        <v>234</v>
      </c>
      <c r="H7" s="150" t="s">
        <v>136</v>
      </c>
      <c r="I7" s="150" t="s">
        <v>239</v>
      </c>
      <c r="J7" s="150" t="s">
        <v>239</v>
      </c>
      <c r="K7" s="150" t="s">
        <v>284</v>
      </c>
      <c r="L7" s="190" t="s">
        <v>132</v>
      </c>
      <c r="M7" s="190" t="s">
        <v>132</v>
      </c>
      <c r="N7" s="190" t="s">
        <v>132</v>
      </c>
      <c r="O7" s="190" t="s">
        <v>132</v>
      </c>
    </row>
    <row r="8" spans="1:15">
      <c r="A8" s="150" t="s">
        <v>120</v>
      </c>
      <c r="B8" s="150">
        <v>5</v>
      </c>
      <c r="C8" s="150">
        <v>5</v>
      </c>
      <c r="D8" s="150" t="s">
        <v>231</v>
      </c>
      <c r="E8" s="150" t="s">
        <v>231</v>
      </c>
      <c r="F8" s="150">
        <v>63</v>
      </c>
      <c r="G8" s="150" t="s">
        <v>234</v>
      </c>
      <c r="H8" s="150" t="s">
        <v>136</v>
      </c>
      <c r="I8" s="150" t="s">
        <v>239</v>
      </c>
      <c r="J8" s="150" t="s">
        <v>239</v>
      </c>
      <c r="K8" s="150" t="s">
        <v>284</v>
      </c>
      <c r="L8" s="190" t="s">
        <v>132</v>
      </c>
      <c r="M8" s="190" t="s">
        <v>132</v>
      </c>
      <c r="N8" s="190" t="s">
        <v>132</v>
      </c>
      <c r="O8" s="190" t="s">
        <v>132</v>
      </c>
    </row>
    <row r="9" spans="1:15">
      <c r="A9" s="150" t="s">
        <v>120</v>
      </c>
      <c r="B9" s="150">
        <v>5</v>
      </c>
      <c r="C9" s="150">
        <v>5</v>
      </c>
      <c r="D9" s="150" t="s">
        <v>231</v>
      </c>
      <c r="E9" s="150" t="s">
        <v>231</v>
      </c>
      <c r="F9" s="150">
        <v>63</v>
      </c>
      <c r="G9" s="150" t="s">
        <v>234</v>
      </c>
      <c r="H9" s="150" t="s">
        <v>136</v>
      </c>
      <c r="I9" s="150" t="s">
        <v>239</v>
      </c>
      <c r="J9" s="150" t="s">
        <v>239</v>
      </c>
      <c r="K9" s="150" t="s">
        <v>284</v>
      </c>
      <c r="L9" s="190" t="s">
        <v>132</v>
      </c>
      <c r="M9" s="190" t="s">
        <v>132</v>
      </c>
      <c r="N9" s="190" t="s">
        <v>132</v>
      </c>
      <c r="O9" s="190" t="s">
        <v>132</v>
      </c>
    </row>
    <row r="10" spans="1:15">
      <c r="A10" s="150" t="s">
        <v>130</v>
      </c>
      <c r="B10" s="150">
        <v>6</v>
      </c>
      <c r="C10" s="150">
        <v>6</v>
      </c>
      <c r="D10" s="150" t="s">
        <v>231</v>
      </c>
      <c r="E10" s="150" t="s">
        <v>231</v>
      </c>
      <c r="F10" s="150">
        <v>63</v>
      </c>
      <c r="G10" s="150" t="s">
        <v>234</v>
      </c>
      <c r="H10" s="150" t="s">
        <v>136</v>
      </c>
      <c r="I10" s="150" t="s">
        <v>239</v>
      </c>
      <c r="J10" s="150" t="s">
        <v>239</v>
      </c>
      <c r="K10" s="150" t="s">
        <v>283</v>
      </c>
      <c r="L10" s="190" t="s">
        <v>132</v>
      </c>
      <c r="M10" s="190" t="s">
        <v>132</v>
      </c>
      <c r="N10" s="190" t="s">
        <v>132</v>
      </c>
      <c r="O10" s="190" t="s">
        <v>132</v>
      </c>
    </row>
    <row r="11" spans="1:15">
      <c r="A11" s="150" t="s">
        <v>130</v>
      </c>
      <c r="B11" s="150">
        <v>6</v>
      </c>
      <c r="C11" s="150">
        <v>6</v>
      </c>
      <c r="D11" s="150" t="s">
        <v>231</v>
      </c>
      <c r="E11" s="150" t="s">
        <v>231</v>
      </c>
      <c r="F11" s="150">
        <v>63</v>
      </c>
      <c r="G11" s="150" t="s">
        <v>234</v>
      </c>
      <c r="H11" s="150" t="s">
        <v>136</v>
      </c>
      <c r="I11" s="150" t="s">
        <v>239</v>
      </c>
      <c r="J11" s="150" t="s">
        <v>239</v>
      </c>
      <c r="K11" s="150" t="s">
        <v>283</v>
      </c>
      <c r="L11" s="190" t="s">
        <v>132</v>
      </c>
      <c r="M11" s="190" t="s">
        <v>132</v>
      </c>
      <c r="N11" s="190" t="s">
        <v>132</v>
      </c>
      <c r="O11" s="190" t="s">
        <v>132</v>
      </c>
    </row>
    <row r="12" spans="1:15">
      <c r="A12" s="150" t="s">
        <v>130</v>
      </c>
      <c r="B12" s="150">
        <v>6</v>
      </c>
      <c r="C12" s="150">
        <v>6</v>
      </c>
      <c r="D12" s="150" t="s">
        <v>231</v>
      </c>
      <c r="E12" s="150" t="s">
        <v>231</v>
      </c>
      <c r="F12" s="150">
        <v>63</v>
      </c>
      <c r="G12" s="150" t="s">
        <v>234</v>
      </c>
      <c r="H12" s="150" t="s">
        <v>136</v>
      </c>
      <c r="I12" s="150" t="s">
        <v>239</v>
      </c>
      <c r="J12" s="150" t="s">
        <v>239</v>
      </c>
      <c r="K12" s="150" t="s">
        <v>283</v>
      </c>
      <c r="L12" s="190" t="s">
        <v>132</v>
      </c>
      <c r="M12" s="190" t="s">
        <v>132</v>
      </c>
      <c r="N12" s="190" t="s">
        <v>132</v>
      </c>
      <c r="O12" s="190" t="s">
        <v>132</v>
      </c>
    </row>
    <row r="13" spans="1:15">
      <c r="A13" s="150" t="s">
        <v>130</v>
      </c>
      <c r="B13" s="150">
        <v>6</v>
      </c>
      <c r="C13" s="150">
        <v>6</v>
      </c>
      <c r="D13" s="150" t="s">
        <v>231</v>
      </c>
      <c r="E13" s="150" t="s">
        <v>231</v>
      </c>
      <c r="F13" s="150">
        <v>63</v>
      </c>
      <c r="G13" s="150" t="s">
        <v>234</v>
      </c>
      <c r="H13" s="150" t="s">
        <v>136</v>
      </c>
      <c r="I13" s="150" t="s">
        <v>239</v>
      </c>
      <c r="J13" s="150" t="s">
        <v>240</v>
      </c>
      <c r="K13" s="150" t="s">
        <v>284</v>
      </c>
      <c r="L13" s="190" t="s">
        <v>132</v>
      </c>
      <c r="M13" s="190" t="s">
        <v>132</v>
      </c>
      <c r="N13" s="190" t="s">
        <v>132</v>
      </c>
      <c r="O13" s="190" t="s">
        <v>132</v>
      </c>
    </row>
    <row r="14" spans="1:15">
      <c r="A14" s="150" t="s">
        <v>131</v>
      </c>
      <c r="B14" s="150">
        <v>3</v>
      </c>
      <c r="C14" s="150">
        <v>3</v>
      </c>
      <c r="D14" s="150" t="s">
        <v>233</v>
      </c>
      <c r="E14" s="150" t="s">
        <v>228</v>
      </c>
      <c r="F14" s="150">
        <v>58</v>
      </c>
      <c r="G14" s="150" t="s">
        <v>234</v>
      </c>
      <c r="H14" s="150" t="s">
        <v>136</v>
      </c>
      <c r="I14" s="150" t="s">
        <v>132</v>
      </c>
      <c r="J14" s="150" t="s">
        <v>132</v>
      </c>
      <c r="K14" s="150" t="s">
        <v>284</v>
      </c>
      <c r="L14" s="190" t="s">
        <v>132</v>
      </c>
      <c r="M14" s="190" t="s">
        <v>132</v>
      </c>
      <c r="N14" s="190" t="s">
        <v>132</v>
      </c>
      <c r="O14" s="190" t="s">
        <v>132</v>
      </c>
    </row>
    <row r="15" spans="1:15">
      <c r="A15" s="150" t="s">
        <v>131</v>
      </c>
      <c r="B15" s="150">
        <v>3</v>
      </c>
      <c r="C15" s="150">
        <v>3</v>
      </c>
      <c r="D15" s="150" t="s">
        <v>233</v>
      </c>
      <c r="E15" s="150" t="s">
        <v>229</v>
      </c>
      <c r="F15" s="150">
        <v>58</v>
      </c>
      <c r="G15" s="150" t="s">
        <v>234</v>
      </c>
      <c r="H15" s="150" t="s">
        <v>136</v>
      </c>
      <c r="I15" s="150" t="s">
        <v>132</v>
      </c>
      <c r="J15" s="150" t="s">
        <v>132</v>
      </c>
      <c r="K15" s="150" t="s">
        <v>284</v>
      </c>
      <c r="L15" s="190" t="s">
        <v>132</v>
      </c>
      <c r="M15" s="190" t="s">
        <v>132</v>
      </c>
      <c r="N15" s="190" t="s">
        <v>132</v>
      </c>
      <c r="O15" s="190" t="s">
        <v>132</v>
      </c>
    </row>
    <row r="16" spans="1:15">
      <c r="A16" s="150" t="s">
        <v>131</v>
      </c>
      <c r="B16" s="150">
        <v>3</v>
      </c>
      <c r="C16" s="150">
        <v>3</v>
      </c>
      <c r="D16" s="150" t="s">
        <v>233</v>
      </c>
      <c r="E16" s="150" t="s">
        <v>229</v>
      </c>
      <c r="F16" s="150">
        <v>58</v>
      </c>
      <c r="G16" s="150" t="s">
        <v>234</v>
      </c>
      <c r="H16" s="150" t="s">
        <v>136</v>
      </c>
      <c r="I16" s="150" t="s">
        <v>132</v>
      </c>
      <c r="J16" s="150" t="s">
        <v>132</v>
      </c>
      <c r="K16" s="150" t="s">
        <v>284</v>
      </c>
      <c r="L16" s="190" t="s">
        <v>132</v>
      </c>
      <c r="M16" s="190" t="s">
        <v>132</v>
      </c>
      <c r="N16" s="190" t="s">
        <v>132</v>
      </c>
      <c r="O16" s="190" t="s">
        <v>132</v>
      </c>
    </row>
    <row r="17" spans="1:15">
      <c r="A17" s="150" t="s">
        <v>131</v>
      </c>
      <c r="B17" s="150">
        <v>3</v>
      </c>
      <c r="C17" s="150">
        <v>3</v>
      </c>
      <c r="D17" s="150" t="s">
        <v>233</v>
      </c>
      <c r="E17" s="150" t="s">
        <v>229</v>
      </c>
      <c r="F17" s="150">
        <v>58</v>
      </c>
      <c r="G17" s="150" t="s">
        <v>234</v>
      </c>
      <c r="H17" s="150" t="s">
        <v>136</v>
      </c>
      <c r="I17" s="150" t="s">
        <v>132</v>
      </c>
      <c r="J17" s="150" t="s">
        <v>132</v>
      </c>
      <c r="K17" s="150" t="s">
        <v>283</v>
      </c>
      <c r="L17" s="190" t="s">
        <v>132</v>
      </c>
      <c r="M17" s="190" t="s">
        <v>132</v>
      </c>
      <c r="N17" s="190" t="s">
        <v>132</v>
      </c>
      <c r="O17" s="190" t="s">
        <v>132</v>
      </c>
    </row>
    <row r="18" spans="1:15">
      <c r="A18" s="150" t="s">
        <v>131</v>
      </c>
      <c r="B18" s="150">
        <v>3</v>
      </c>
      <c r="C18" s="150">
        <v>3</v>
      </c>
      <c r="D18" s="150" t="s">
        <v>233</v>
      </c>
      <c r="E18" s="150" t="s">
        <v>229</v>
      </c>
      <c r="F18" s="150">
        <v>58</v>
      </c>
      <c r="G18" s="150" t="s">
        <v>234</v>
      </c>
      <c r="H18" s="150" t="s">
        <v>136</v>
      </c>
      <c r="I18" s="150" t="s">
        <v>132</v>
      </c>
      <c r="J18" s="150" t="s">
        <v>132</v>
      </c>
      <c r="K18" s="150" t="s">
        <v>283</v>
      </c>
      <c r="L18" s="190" t="s">
        <v>132</v>
      </c>
      <c r="M18" s="190" t="s">
        <v>132</v>
      </c>
      <c r="N18" s="190" t="s">
        <v>132</v>
      </c>
      <c r="O18" s="190" t="s">
        <v>132</v>
      </c>
    </row>
    <row r="19" spans="1:15">
      <c r="A19" s="150" t="s">
        <v>131</v>
      </c>
      <c r="B19" s="150">
        <v>3</v>
      </c>
      <c r="C19" s="150">
        <v>3</v>
      </c>
      <c r="D19" s="150" t="s">
        <v>233</v>
      </c>
      <c r="E19" s="150" t="s">
        <v>230</v>
      </c>
      <c r="F19" s="150">
        <v>58</v>
      </c>
      <c r="G19" s="150" t="s">
        <v>234</v>
      </c>
      <c r="H19" s="150" t="s">
        <v>136</v>
      </c>
      <c r="I19" s="150" t="s">
        <v>132</v>
      </c>
      <c r="J19" s="150" t="s">
        <v>132</v>
      </c>
      <c r="K19" s="150" t="s">
        <v>284</v>
      </c>
      <c r="L19" s="190" t="s">
        <v>132</v>
      </c>
      <c r="M19" s="190" t="s">
        <v>132</v>
      </c>
      <c r="N19" s="190" t="s">
        <v>132</v>
      </c>
      <c r="O19" s="190" t="s">
        <v>132</v>
      </c>
    </row>
    <row r="20" spans="1:15">
      <c r="A20" s="150" t="s">
        <v>153</v>
      </c>
      <c r="B20" s="150">
        <v>4</v>
      </c>
      <c r="C20" s="150">
        <v>4</v>
      </c>
      <c r="D20" s="150" t="s">
        <v>233</v>
      </c>
      <c r="E20" s="150" t="s">
        <v>229</v>
      </c>
      <c r="F20" s="150">
        <v>63</v>
      </c>
      <c r="G20" s="150" t="s">
        <v>234</v>
      </c>
      <c r="H20" s="150" t="s">
        <v>136</v>
      </c>
      <c r="I20" s="150" t="s">
        <v>240</v>
      </c>
      <c r="J20" s="150" t="s">
        <v>132</v>
      </c>
      <c r="K20" s="150" t="s">
        <v>284</v>
      </c>
      <c r="L20" s="190" t="s">
        <v>132</v>
      </c>
      <c r="M20" s="190" t="s">
        <v>132</v>
      </c>
      <c r="N20" s="190" t="s">
        <v>132</v>
      </c>
      <c r="O20" s="190" t="s">
        <v>132</v>
      </c>
    </row>
    <row r="21" spans="1:15">
      <c r="A21" s="150" t="s">
        <v>133</v>
      </c>
      <c r="B21" s="150">
        <v>8</v>
      </c>
      <c r="C21" s="150">
        <v>8</v>
      </c>
      <c r="D21" s="150" t="s">
        <v>231</v>
      </c>
      <c r="E21" s="150" t="s">
        <v>231</v>
      </c>
      <c r="F21" s="150">
        <v>63</v>
      </c>
      <c r="G21" s="150" t="s">
        <v>234</v>
      </c>
      <c r="H21" s="150" t="s">
        <v>137</v>
      </c>
      <c r="I21" s="150" t="s">
        <v>240</v>
      </c>
      <c r="J21" s="151" t="s">
        <v>241</v>
      </c>
      <c r="K21" s="150" t="s">
        <v>284</v>
      </c>
      <c r="L21" s="190" t="s">
        <v>132</v>
      </c>
      <c r="M21" s="190" t="s">
        <v>132</v>
      </c>
      <c r="N21" s="190" t="s">
        <v>132</v>
      </c>
      <c r="O21" s="190" t="s">
        <v>132</v>
      </c>
    </row>
    <row r="22" spans="1:15">
      <c r="A22" s="150" t="s">
        <v>133</v>
      </c>
      <c r="B22" s="150">
        <v>8</v>
      </c>
      <c r="C22" s="150">
        <v>8</v>
      </c>
      <c r="D22" s="150" t="s">
        <v>231</v>
      </c>
      <c r="E22" s="150" t="s">
        <v>231</v>
      </c>
      <c r="F22" s="150">
        <v>63</v>
      </c>
      <c r="G22" s="150" t="s">
        <v>234</v>
      </c>
      <c r="H22" s="150" t="s">
        <v>137</v>
      </c>
      <c r="I22" s="150" t="s">
        <v>239</v>
      </c>
      <c r="J22" s="151" t="s">
        <v>241</v>
      </c>
      <c r="K22" s="150" t="s">
        <v>284</v>
      </c>
      <c r="L22" s="190" t="s">
        <v>132</v>
      </c>
      <c r="M22" s="190" t="s">
        <v>132</v>
      </c>
      <c r="N22" s="190" t="s">
        <v>132</v>
      </c>
      <c r="O22" s="190" t="s">
        <v>132</v>
      </c>
    </row>
    <row r="23" spans="1:15">
      <c r="A23" s="150" t="s">
        <v>133</v>
      </c>
      <c r="B23" s="150">
        <v>8</v>
      </c>
      <c r="C23" s="150">
        <v>8</v>
      </c>
      <c r="D23" s="150" t="s">
        <v>231</v>
      </c>
      <c r="E23" s="150" t="s">
        <v>231</v>
      </c>
      <c r="F23" s="150">
        <v>63</v>
      </c>
      <c r="G23" s="150" t="s">
        <v>234</v>
      </c>
      <c r="H23" s="150" t="s">
        <v>137</v>
      </c>
      <c r="I23" s="150" t="s">
        <v>240</v>
      </c>
      <c r="J23" s="151" t="s">
        <v>241</v>
      </c>
      <c r="K23" s="150" t="s">
        <v>284</v>
      </c>
      <c r="L23" s="190" t="s">
        <v>132</v>
      </c>
      <c r="M23" s="190" t="s">
        <v>132</v>
      </c>
      <c r="N23" s="190" t="s">
        <v>132</v>
      </c>
      <c r="O23" s="190" t="s">
        <v>132</v>
      </c>
    </row>
    <row r="24" spans="1:15">
      <c r="A24" s="150" t="s">
        <v>133</v>
      </c>
      <c r="B24" s="150">
        <v>8</v>
      </c>
      <c r="C24" s="150">
        <v>8</v>
      </c>
      <c r="D24" s="150" t="s">
        <v>231</v>
      </c>
      <c r="E24" s="150" t="s">
        <v>231</v>
      </c>
      <c r="F24" s="150">
        <v>63</v>
      </c>
      <c r="G24" s="150" t="s">
        <v>234</v>
      </c>
      <c r="H24" s="150" t="s">
        <v>137</v>
      </c>
      <c r="I24" s="150" t="s">
        <v>239</v>
      </c>
      <c r="J24" s="151" t="s">
        <v>241</v>
      </c>
      <c r="K24" s="150" t="s">
        <v>284</v>
      </c>
      <c r="L24" s="190" t="s">
        <v>132</v>
      </c>
      <c r="M24" s="190" t="s">
        <v>132</v>
      </c>
      <c r="N24" s="190" t="s">
        <v>132</v>
      </c>
      <c r="O24" s="190" t="s">
        <v>132</v>
      </c>
    </row>
    <row r="25" spans="1:15">
      <c r="A25" s="150" t="s">
        <v>134</v>
      </c>
      <c r="B25" s="150">
        <v>4</v>
      </c>
      <c r="C25" s="150">
        <v>4</v>
      </c>
      <c r="D25" s="150" t="s">
        <v>231</v>
      </c>
      <c r="E25" s="150" t="s">
        <v>231</v>
      </c>
      <c r="F25" s="150">
        <v>72</v>
      </c>
      <c r="G25" s="150" t="s">
        <v>235</v>
      </c>
      <c r="H25" s="150" t="s">
        <v>136</v>
      </c>
      <c r="I25" s="150" t="s">
        <v>240</v>
      </c>
      <c r="J25" s="151" t="s">
        <v>241</v>
      </c>
      <c r="K25" s="150" t="s">
        <v>284</v>
      </c>
      <c r="L25" s="190" t="s">
        <v>132</v>
      </c>
      <c r="M25" s="190" t="s">
        <v>132</v>
      </c>
      <c r="N25" s="190" t="s">
        <v>132</v>
      </c>
      <c r="O25" s="190" t="s">
        <v>132</v>
      </c>
    </row>
    <row r="26" spans="1:15">
      <c r="A26" s="150" t="s">
        <v>135</v>
      </c>
      <c r="B26" s="150">
        <v>6</v>
      </c>
      <c r="C26" s="150">
        <v>6</v>
      </c>
      <c r="D26" s="150" t="s">
        <v>231</v>
      </c>
      <c r="E26" s="150" t="s">
        <v>231</v>
      </c>
      <c r="F26" s="150">
        <v>79</v>
      </c>
      <c r="G26" s="150" t="s">
        <v>235</v>
      </c>
      <c r="H26" s="150" t="s">
        <v>136</v>
      </c>
      <c r="I26" s="150" t="s">
        <v>239</v>
      </c>
      <c r="J26" s="150" t="s">
        <v>240</v>
      </c>
      <c r="K26" s="150" t="s">
        <v>284</v>
      </c>
      <c r="L26" s="190" t="s">
        <v>132</v>
      </c>
      <c r="M26" s="190" t="s">
        <v>132</v>
      </c>
      <c r="N26" s="190" t="s">
        <v>132</v>
      </c>
      <c r="O26" s="190" t="s">
        <v>132</v>
      </c>
    </row>
    <row r="27" spans="1:15">
      <c r="A27" s="150" t="s">
        <v>135</v>
      </c>
      <c r="B27" s="150">
        <v>6</v>
      </c>
      <c r="C27" s="150">
        <v>6</v>
      </c>
      <c r="D27" s="150" t="s">
        <v>231</v>
      </c>
      <c r="E27" s="150" t="s">
        <v>231</v>
      </c>
      <c r="F27" s="150">
        <v>79</v>
      </c>
      <c r="G27" s="150" t="s">
        <v>235</v>
      </c>
      <c r="H27" s="150" t="s">
        <v>136</v>
      </c>
      <c r="I27" s="150" t="s">
        <v>239</v>
      </c>
      <c r="J27" s="150" t="s">
        <v>240</v>
      </c>
      <c r="K27" s="150" t="s">
        <v>284</v>
      </c>
      <c r="L27" s="190" t="s">
        <v>132</v>
      </c>
      <c r="M27" s="190" t="s">
        <v>132</v>
      </c>
      <c r="N27" s="190" t="s">
        <v>132</v>
      </c>
      <c r="O27" s="190" t="s">
        <v>132</v>
      </c>
    </row>
    <row r="28" spans="1:15">
      <c r="A28" s="150" t="s">
        <v>138</v>
      </c>
      <c r="B28" s="150">
        <v>4</v>
      </c>
      <c r="C28" s="150">
        <v>4</v>
      </c>
      <c r="D28" s="150" t="s">
        <v>231</v>
      </c>
      <c r="E28" s="150" t="s">
        <v>231</v>
      </c>
      <c r="F28" s="150">
        <v>63</v>
      </c>
      <c r="G28" s="150" t="s">
        <v>235</v>
      </c>
      <c r="H28" s="150" t="s">
        <v>137</v>
      </c>
      <c r="I28" s="150" t="s">
        <v>132</v>
      </c>
      <c r="J28" s="150" t="s">
        <v>239</v>
      </c>
      <c r="K28" s="150" t="s">
        <v>285</v>
      </c>
      <c r="L28" s="190" t="s">
        <v>132</v>
      </c>
      <c r="M28" s="190" t="s">
        <v>132</v>
      </c>
      <c r="N28" s="190" t="s">
        <v>132</v>
      </c>
      <c r="O28" s="190" t="s">
        <v>132</v>
      </c>
    </row>
    <row r="29" spans="1:15">
      <c r="A29" s="150" t="s">
        <v>138</v>
      </c>
      <c r="B29" s="150">
        <v>4</v>
      </c>
      <c r="C29" s="150">
        <v>4</v>
      </c>
      <c r="D29" s="150" t="s">
        <v>231</v>
      </c>
      <c r="E29" s="150" t="s">
        <v>231</v>
      </c>
      <c r="F29" s="150">
        <v>63</v>
      </c>
      <c r="G29" s="150" t="s">
        <v>235</v>
      </c>
      <c r="H29" s="150" t="s">
        <v>137</v>
      </c>
      <c r="I29" s="150" t="s">
        <v>132</v>
      </c>
      <c r="J29" s="150" t="s">
        <v>239</v>
      </c>
      <c r="K29" s="150" t="s">
        <v>285</v>
      </c>
      <c r="L29" s="190" t="s">
        <v>132</v>
      </c>
      <c r="M29" s="190" t="s">
        <v>132</v>
      </c>
      <c r="N29" s="190" t="s">
        <v>132</v>
      </c>
      <c r="O29" s="190" t="s">
        <v>132</v>
      </c>
    </row>
    <row r="30" spans="1:15">
      <c r="A30" s="150" t="s">
        <v>139</v>
      </c>
      <c r="B30" s="150">
        <v>3</v>
      </c>
      <c r="C30" s="150">
        <v>3</v>
      </c>
      <c r="D30" s="150" t="s">
        <v>233</v>
      </c>
      <c r="E30" s="150" t="s">
        <v>228</v>
      </c>
      <c r="F30" s="150">
        <v>42</v>
      </c>
      <c r="G30" s="150" t="s">
        <v>234</v>
      </c>
      <c r="H30" s="150" t="s">
        <v>136</v>
      </c>
      <c r="I30" s="150" t="s">
        <v>132</v>
      </c>
      <c r="J30" s="150" t="s">
        <v>132</v>
      </c>
      <c r="K30" s="150" t="s">
        <v>283</v>
      </c>
      <c r="L30" s="190" t="s">
        <v>132</v>
      </c>
      <c r="M30" s="190" t="s">
        <v>132</v>
      </c>
      <c r="N30" s="190" t="s">
        <v>132</v>
      </c>
      <c r="O30" s="190" t="s">
        <v>132</v>
      </c>
    </row>
    <row r="31" spans="1:15">
      <c r="A31" s="150" t="s">
        <v>139</v>
      </c>
      <c r="B31" s="150">
        <v>3</v>
      </c>
      <c r="C31" s="150">
        <v>3</v>
      </c>
      <c r="D31" s="150" t="s">
        <v>233</v>
      </c>
      <c r="E31" s="150" t="s">
        <v>229</v>
      </c>
      <c r="F31" s="150">
        <v>42</v>
      </c>
      <c r="G31" s="150" t="s">
        <v>234</v>
      </c>
      <c r="H31" s="150" t="s">
        <v>136</v>
      </c>
      <c r="I31" s="150" t="s">
        <v>132</v>
      </c>
      <c r="J31" s="150" t="s">
        <v>132</v>
      </c>
      <c r="K31" s="150" t="s">
        <v>283</v>
      </c>
      <c r="L31" s="190" t="s">
        <v>132</v>
      </c>
      <c r="M31" s="190" t="s">
        <v>132</v>
      </c>
      <c r="N31" s="190" t="s">
        <v>132</v>
      </c>
      <c r="O31" s="190" t="s">
        <v>132</v>
      </c>
    </row>
    <row r="32" spans="1:15">
      <c r="A32" s="150" t="s">
        <v>139</v>
      </c>
      <c r="B32" s="150">
        <v>3</v>
      </c>
      <c r="C32" s="150">
        <v>3</v>
      </c>
      <c r="D32" s="150" t="s">
        <v>233</v>
      </c>
      <c r="E32" s="150" t="s">
        <v>229</v>
      </c>
      <c r="F32" s="150">
        <v>42</v>
      </c>
      <c r="G32" s="150" t="s">
        <v>234</v>
      </c>
      <c r="H32" s="150" t="s">
        <v>136</v>
      </c>
      <c r="I32" s="150" t="s">
        <v>132</v>
      </c>
      <c r="J32" s="150" t="s">
        <v>132</v>
      </c>
      <c r="K32" s="150" t="s">
        <v>283</v>
      </c>
      <c r="L32" s="190" t="s">
        <v>132</v>
      </c>
      <c r="M32" s="190" t="s">
        <v>132</v>
      </c>
      <c r="N32" s="190" t="s">
        <v>132</v>
      </c>
      <c r="O32" s="190" t="s">
        <v>132</v>
      </c>
    </row>
    <row r="33" spans="1:15">
      <c r="A33" s="150" t="s">
        <v>140</v>
      </c>
      <c r="B33" s="150">
        <v>5</v>
      </c>
      <c r="C33" s="150">
        <v>5</v>
      </c>
      <c r="D33" s="150" t="s">
        <v>233</v>
      </c>
      <c r="E33" s="150" t="s">
        <v>229</v>
      </c>
      <c r="F33" s="150">
        <v>64</v>
      </c>
      <c r="G33" s="150" t="s">
        <v>234</v>
      </c>
      <c r="H33" s="150" t="s">
        <v>136</v>
      </c>
      <c r="I33" s="150" t="s">
        <v>240</v>
      </c>
      <c r="J33" s="150" t="s">
        <v>132</v>
      </c>
      <c r="K33" s="150" t="s">
        <v>284</v>
      </c>
      <c r="L33" s="190" t="s">
        <v>132</v>
      </c>
      <c r="M33" s="190" t="s">
        <v>132</v>
      </c>
      <c r="N33" s="190" t="s">
        <v>132</v>
      </c>
      <c r="O33" s="190" t="s">
        <v>132</v>
      </c>
    </row>
    <row r="34" spans="1:15">
      <c r="A34" s="150" t="s">
        <v>140</v>
      </c>
      <c r="B34" s="150">
        <v>5</v>
      </c>
      <c r="C34" s="150">
        <v>5</v>
      </c>
      <c r="D34" s="150" t="s">
        <v>233</v>
      </c>
      <c r="E34" s="150" t="s">
        <v>229</v>
      </c>
      <c r="F34" s="150">
        <v>64</v>
      </c>
      <c r="G34" s="150" t="s">
        <v>234</v>
      </c>
      <c r="H34" s="150" t="s">
        <v>136</v>
      </c>
      <c r="I34" s="150" t="s">
        <v>240</v>
      </c>
      <c r="J34" s="150" t="s">
        <v>132</v>
      </c>
      <c r="K34" s="150" t="s">
        <v>284</v>
      </c>
      <c r="L34" s="190" t="s">
        <v>132</v>
      </c>
      <c r="M34" s="190" t="s">
        <v>132</v>
      </c>
      <c r="N34" s="190" t="s">
        <v>132</v>
      </c>
      <c r="O34" s="190" t="s">
        <v>132</v>
      </c>
    </row>
    <row r="35" spans="1:15">
      <c r="A35" s="150" t="s">
        <v>140</v>
      </c>
      <c r="B35" s="150">
        <v>5</v>
      </c>
      <c r="C35" s="150">
        <v>5</v>
      </c>
      <c r="D35" s="150" t="s">
        <v>233</v>
      </c>
      <c r="E35" s="150" t="s">
        <v>230</v>
      </c>
      <c r="F35" s="150">
        <v>64</v>
      </c>
      <c r="G35" s="150" t="s">
        <v>234</v>
      </c>
      <c r="H35" s="150" t="s">
        <v>136</v>
      </c>
      <c r="I35" s="150" t="s">
        <v>240</v>
      </c>
      <c r="J35" s="150" t="s">
        <v>132</v>
      </c>
      <c r="K35" s="150" t="s">
        <v>284</v>
      </c>
      <c r="L35" s="190" t="s">
        <v>132</v>
      </c>
      <c r="M35" s="190" t="s">
        <v>132</v>
      </c>
      <c r="N35" s="190" t="s">
        <v>132</v>
      </c>
      <c r="O35" s="190" t="s">
        <v>132</v>
      </c>
    </row>
    <row r="36" spans="1:15">
      <c r="A36" s="150" t="s">
        <v>140</v>
      </c>
      <c r="B36" s="150">
        <v>5</v>
      </c>
      <c r="C36" s="150">
        <v>5</v>
      </c>
      <c r="D36" s="150" t="s">
        <v>233</v>
      </c>
      <c r="E36" s="150" t="s">
        <v>229</v>
      </c>
      <c r="F36" s="150">
        <v>64</v>
      </c>
      <c r="G36" s="150" t="s">
        <v>234</v>
      </c>
      <c r="H36" s="150" t="s">
        <v>136</v>
      </c>
      <c r="I36" s="150" t="s">
        <v>240</v>
      </c>
      <c r="J36" s="150" t="s">
        <v>132</v>
      </c>
      <c r="K36" s="150" t="s">
        <v>283</v>
      </c>
      <c r="L36" s="190" t="s">
        <v>132</v>
      </c>
      <c r="M36" s="190" t="s">
        <v>132</v>
      </c>
      <c r="N36" s="190" t="s">
        <v>132</v>
      </c>
      <c r="O36" s="190" t="s">
        <v>132</v>
      </c>
    </row>
    <row r="37" spans="1:15">
      <c r="A37" s="150" t="s">
        <v>140</v>
      </c>
      <c r="B37" s="150">
        <v>5</v>
      </c>
      <c r="C37" s="150">
        <v>5</v>
      </c>
      <c r="D37" s="150" t="s">
        <v>233</v>
      </c>
      <c r="E37" s="150" t="s">
        <v>229</v>
      </c>
      <c r="F37" s="150">
        <v>64</v>
      </c>
      <c r="G37" s="150" t="s">
        <v>234</v>
      </c>
      <c r="H37" s="150" t="s">
        <v>136</v>
      </c>
      <c r="I37" s="150" t="s">
        <v>240</v>
      </c>
      <c r="J37" s="150" t="s">
        <v>132</v>
      </c>
      <c r="K37" s="150" t="s">
        <v>283</v>
      </c>
      <c r="L37" s="190" t="s">
        <v>132</v>
      </c>
      <c r="M37" s="190" t="s">
        <v>132</v>
      </c>
      <c r="N37" s="190" t="s">
        <v>132</v>
      </c>
      <c r="O37" s="190" t="s">
        <v>132</v>
      </c>
    </row>
    <row r="38" spans="1:15">
      <c r="A38" s="150" t="s">
        <v>141</v>
      </c>
      <c r="B38" s="150">
        <v>5</v>
      </c>
      <c r="C38" s="150">
        <v>5</v>
      </c>
      <c r="D38" s="150" t="s">
        <v>233</v>
      </c>
      <c r="E38" s="150" t="s">
        <v>229</v>
      </c>
      <c r="F38" s="150">
        <v>21</v>
      </c>
      <c r="G38" s="150" t="s">
        <v>234</v>
      </c>
      <c r="H38" s="150" t="s">
        <v>136</v>
      </c>
      <c r="I38" s="150" t="s">
        <v>132</v>
      </c>
      <c r="J38" s="150" t="s">
        <v>132</v>
      </c>
      <c r="K38" s="150" t="s">
        <v>283</v>
      </c>
      <c r="L38" s="190" t="s">
        <v>132</v>
      </c>
      <c r="M38" s="190" t="s">
        <v>132</v>
      </c>
      <c r="N38" s="190" t="s">
        <v>132</v>
      </c>
      <c r="O38" s="190" t="s">
        <v>132</v>
      </c>
    </row>
    <row r="39" spans="1:15">
      <c r="A39" s="150" t="s">
        <v>141</v>
      </c>
      <c r="B39" s="150">
        <v>5</v>
      </c>
      <c r="C39" s="150">
        <v>5</v>
      </c>
      <c r="D39" s="150" t="s">
        <v>233</v>
      </c>
      <c r="E39" s="150" t="s">
        <v>229</v>
      </c>
      <c r="F39" s="150">
        <v>42</v>
      </c>
      <c r="G39" s="150" t="s">
        <v>234</v>
      </c>
      <c r="H39" s="150" t="s">
        <v>136</v>
      </c>
      <c r="I39" s="150" t="s">
        <v>132</v>
      </c>
      <c r="J39" s="150" t="s">
        <v>132</v>
      </c>
      <c r="K39" s="150" t="s">
        <v>283</v>
      </c>
      <c r="L39" s="190" t="s">
        <v>132</v>
      </c>
      <c r="M39" s="190" t="s">
        <v>132</v>
      </c>
      <c r="N39" s="190" t="s">
        <v>132</v>
      </c>
      <c r="O39" s="190" t="s">
        <v>132</v>
      </c>
    </row>
    <row r="40" spans="1:15">
      <c r="A40" s="150" t="s">
        <v>142</v>
      </c>
      <c r="B40" s="150">
        <v>5</v>
      </c>
      <c r="C40" s="150">
        <v>5</v>
      </c>
      <c r="D40" s="150" t="s">
        <v>233</v>
      </c>
      <c r="E40" s="150" t="s">
        <v>228</v>
      </c>
      <c r="F40" s="150">
        <v>28</v>
      </c>
      <c r="G40" s="150" t="s">
        <v>234</v>
      </c>
      <c r="H40" s="150" t="s">
        <v>136</v>
      </c>
      <c r="I40" s="150" t="s">
        <v>132</v>
      </c>
      <c r="J40" s="150" t="s">
        <v>132</v>
      </c>
      <c r="K40" s="150" t="s">
        <v>284</v>
      </c>
      <c r="L40" s="190" t="s">
        <v>132</v>
      </c>
      <c r="M40" s="190" t="s">
        <v>132</v>
      </c>
      <c r="N40" s="190" t="s">
        <v>132</v>
      </c>
      <c r="O40" s="190" t="s">
        <v>132</v>
      </c>
    </row>
    <row r="41" spans="1:15">
      <c r="A41" s="150" t="s">
        <v>142</v>
      </c>
      <c r="B41" s="150">
        <v>5</v>
      </c>
      <c r="C41" s="150">
        <v>5</v>
      </c>
      <c r="D41" s="150" t="s">
        <v>233</v>
      </c>
      <c r="E41" s="150" t="s">
        <v>228</v>
      </c>
      <c r="F41" s="150">
        <v>70</v>
      </c>
      <c r="G41" s="150" t="s">
        <v>235</v>
      </c>
      <c r="H41" s="150" t="s">
        <v>136</v>
      </c>
      <c r="I41" s="150" t="s">
        <v>132</v>
      </c>
      <c r="J41" s="150" t="s">
        <v>132</v>
      </c>
      <c r="K41" s="150" t="s">
        <v>284</v>
      </c>
      <c r="L41" s="190" t="s">
        <v>132</v>
      </c>
      <c r="M41" s="190" t="s">
        <v>132</v>
      </c>
      <c r="N41" s="190" t="s">
        <v>132</v>
      </c>
      <c r="O41" s="190" t="s">
        <v>132</v>
      </c>
    </row>
    <row r="42" spans="1:15">
      <c r="A42" s="150" t="s">
        <v>142</v>
      </c>
      <c r="B42" s="150">
        <v>5</v>
      </c>
      <c r="C42" s="150">
        <v>5</v>
      </c>
      <c r="D42" s="150" t="s">
        <v>233</v>
      </c>
      <c r="E42" s="150" t="s">
        <v>228</v>
      </c>
      <c r="F42" s="150">
        <v>112</v>
      </c>
      <c r="G42" s="150" t="s">
        <v>235</v>
      </c>
      <c r="H42" s="150" t="s">
        <v>136</v>
      </c>
      <c r="I42" s="150" t="s">
        <v>132</v>
      </c>
      <c r="J42" s="150" t="s">
        <v>132</v>
      </c>
      <c r="K42" s="150" t="s">
        <v>284</v>
      </c>
      <c r="L42" s="190" t="s">
        <v>132</v>
      </c>
      <c r="M42" s="190" t="s">
        <v>132</v>
      </c>
      <c r="N42" s="190" t="s">
        <v>132</v>
      </c>
      <c r="O42" s="190" t="s">
        <v>132</v>
      </c>
    </row>
    <row r="43" spans="1:15">
      <c r="A43" s="150" t="s">
        <v>142</v>
      </c>
      <c r="B43" s="150">
        <v>5</v>
      </c>
      <c r="C43" s="150">
        <v>5</v>
      </c>
      <c r="D43" s="150" t="s">
        <v>233</v>
      </c>
      <c r="E43" s="150" t="s">
        <v>228</v>
      </c>
      <c r="F43" s="150">
        <v>28</v>
      </c>
      <c r="G43" s="150" t="s">
        <v>234</v>
      </c>
      <c r="H43" s="150" t="s">
        <v>136</v>
      </c>
      <c r="I43" s="150" t="s">
        <v>132</v>
      </c>
      <c r="J43" s="150" t="s">
        <v>132</v>
      </c>
      <c r="K43" s="150" t="s">
        <v>284</v>
      </c>
      <c r="L43" s="190" t="s">
        <v>132</v>
      </c>
      <c r="M43" s="190" t="s">
        <v>132</v>
      </c>
      <c r="N43" s="190" t="s">
        <v>132</v>
      </c>
      <c r="O43" s="190" t="s">
        <v>132</v>
      </c>
    </row>
    <row r="44" spans="1:15">
      <c r="A44" s="150" t="s">
        <v>142</v>
      </c>
      <c r="B44" s="150">
        <v>5</v>
      </c>
      <c r="C44" s="150">
        <v>5</v>
      </c>
      <c r="D44" s="150" t="s">
        <v>233</v>
      </c>
      <c r="E44" s="150" t="s">
        <v>228</v>
      </c>
      <c r="F44" s="150">
        <v>70</v>
      </c>
      <c r="G44" s="150" t="s">
        <v>235</v>
      </c>
      <c r="H44" s="150" t="s">
        <v>136</v>
      </c>
      <c r="I44" s="150" t="s">
        <v>132</v>
      </c>
      <c r="J44" s="150" t="s">
        <v>132</v>
      </c>
      <c r="K44" s="150" t="s">
        <v>284</v>
      </c>
      <c r="L44" s="190" t="s">
        <v>132</v>
      </c>
      <c r="M44" s="190" t="s">
        <v>132</v>
      </c>
      <c r="N44" s="190" t="s">
        <v>132</v>
      </c>
      <c r="O44" s="190" t="s">
        <v>132</v>
      </c>
    </row>
    <row r="45" spans="1:15">
      <c r="A45" s="150" t="s">
        <v>142</v>
      </c>
      <c r="B45" s="150">
        <v>5</v>
      </c>
      <c r="C45" s="150">
        <v>5</v>
      </c>
      <c r="D45" s="150" t="s">
        <v>233</v>
      </c>
      <c r="E45" s="150" t="s">
        <v>228</v>
      </c>
      <c r="F45" s="150">
        <v>112</v>
      </c>
      <c r="G45" s="150" t="s">
        <v>235</v>
      </c>
      <c r="H45" s="150" t="s">
        <v>136</v>
      </c>
      <c r="I45" s="150" t="s">
        <v>132</v>
      </c>
      <c r="J45" s="150" t="s">
        <v>132</v>
      </c>
      <c r="K45" s="150" t="s">
        <v>284</v>
      </c>
      <c r="L45" s="190" t="s">
        <v>132</v>
      </c>
      <c r="M45" s="190" t="s">
        <v>132</v>
      </c>
      <c r="N45" s="190" t="s">
        <v>132</v>
      </c>
      <c r="O45" s="190" t="s">
        <v>132</v>
      </c>
    </row>
    <row r="46" spans="1:15">
      <c r="A46" s="150" t="s">
        <v>142</v>
      </c>
      <c r="B46" s="150">
        <v>5</v>
      </c>
      <c r="C46" s="150">
        <v>5</v>
      </c>
      <c r="D46" s="150" t="s">
        <v>233</v>
      </c>
      <c r="E46" s="150" t="s">
        <v>229</v>
      </c>
      <c r="F46" s="150">
        <v>28</v>
      </c>
      <c r="G46" s="150" t="s">
        <v>234</v>
      </c>
      <c r="H46" s="150" t="s">
        <v>136</v>
      </c>
      <c r="I46" s="150" t="s">
        <v>132</v>
      </c>
      <c r="J46" s="150" t="s">
        <v>132</v>
      </c>
      <c r="K46" s="150" t="s">
        <v>284</v>
      </c>
      <c r="L46" s="190" t="s">
        <v>132</v>
      </c>
      <c r="M46" s="190" t="s">
        <v>132</v>
      </c>
      <c r="N46" s="190" t="s">
        <v>132</v>
      </c>
      <c r="O46" s="190" t="s">
        <v>132</v>
      </c>
    </row>
    <row r="47" spans="1:15">
      <c r="A47" s="150" t="s">
        <v>142</v>
      </c>
      <c r="B47" s="150">
        <v>5</v>
      </c>
      <c r="C47" s="150">
        <v>5</v>
      </c>
      <c r="D47" s="150" t="s">
        <v>233</v>
      </c>
      <c r="E47" s="150" t="s">
        <v>229</v>
      </c>
      <c r="F47" s="150">
        <v>70</v>
      </c>
      <c r="G47" s="150" t="s">
        <v>235</v>
      </c>
      <c r="H47" s="150" t="s">
        <v>136</v>
      </c>
      <c r="I47" s="150" t="s">
        <v>132</v>
      </c>
      <c r="J47" s="150" t="s">
        <v>132</v>
      </c>
      <c r="K47" s="150" t="s">
        <v>284</v>
      </c>
      <c r="L47" s="190" t="s">
        <v>132</v>
      </c>
      <c r="M47" s="190" t="s">
        <v>132</v>
      </c>
      <c r="N47" s="190" t="s">
        <v>132</v>
      </c>
      <c r="O47" s="190" t="s">
        <v>132</v>
      </c>
    </row>
    <row r="48" spans="1:15">
      <c r="A48" s="150" t="s">
        <v>142</v>
      </c>
      <c r="B48" s="150">
        <v>5</v>
      </c>
      <c r="C48" s="150">
        <v>5</v>
      </c>
      <c r="D48" s="150" t="s">
        <v>233</v>
      </c>
      <c r="E48" s="150" t="s">
        <v>229</v>
      </c>
      <c r="F48" s="150">
        <v>112</v>
      </c>
      <c r="G48" s="150" t="s">
        <v>235</v>
      </c>
      <c r="H48" s="150" t="s">
        <v>136</v>
      </c>
      <c r="I48" s="150" t="s">
        <v>132</v>
      </c>
      <c r="J48" s="150" t="s">
        <v>132</v>
      </c>
      <c r="K48" s="150" t="s">
        <v>284</v>
      </c>
      <c r="L48" s="190" t="s">
        <v>132</v>
      </c>
      <c r="M48" s="190" t="s">
        <v>132</v>
      </c>
      <c r="N48" s="190" t="s">
        <v>132</v>
      </c>
      <c r="O48" s="190" t="s">
        <v>132</v>
      </c>
    </row>
    <row r="49" spans="1:15">
      <c r="A49" s="150" t="s">
        <v>142</v>
      </c>
      <c r="B49" s="150">
        <v>3</v>
      </c>
      <c r="C49" s="150">
        <v>3</v>
      </c>
      <c r="D49" s="150" t="s">
        <v>233</v>
      </c>
      <c r="E49" s="150" t="s">
        <v>229</v>
      </c>
      <c r="F49" s="150">
        <v>28</v>
      </c>
      <c r="G49" s="150" t="s">
        <v>234</v>
      </c>
      <c r="H49" s="150" t="s">
        <v>136</v>
      </c>
      <c r="I49" s="150" t="s">
        <v>132</v>
      </c>
      <c r="J49" s="150" t="s">
        <v>132</v>
      </c>
      <c r="K49" s="150" t="s">
        <v>283</v>
      </c>
      <c r="L49" s="190" t="s">
        <v>132</v>
      </c>
      <c r="M49" s="190" t="s">
        <v>132</v>
      </c>
      <c r="N49" s="190" t="s">
        <v>132</v>
      </c>
      <c r="O49" s="190" t="s">
        <v>132</v>
      </c>
    </row>
    <row r="50" spans="1:15">
      <c r="A50" s="150" t="s">
        <v>142</v>
      </c>
      <c r="B50" s="150">
        <v>3</v>
      </c>
      <c r="C50" s="150">
        <v>3</v>
      </c>
      <c r="D50" s="150" t="s">
        <v>233</v>
      </c>
      <c r="E50" s="150" t="s">
        <v>229</v>
      </c>
      <c r="F50" s="150">
        <v>70</v>
      </c>
      <c r="G50" s="150" t="s">
        <v>235</v>
      </c>
      <c r="H50" s="150" t="s">
        <v>136</v>
      </c>
      <c r="I50" s="150" t="s">
        <v>132</v>
      </c>
      <c r="J50" s="150" t="s">
        <v>132</v>
      </c>
      <c r="K50" s="150" t="s">
        <v>283</v>
      </c>
      <c r="L50" s="190" t="s">
        <v>132</v>
      </c>
      <c r="M50" s="190" t="s">
        <v>132</v>
      </c>
      <c r="N50" s="190" t="s">
        <v>132</v>
      </c>
      <c r="O50" s="190" t="s">
        <v>132</v>
      </c>
    </row>
    <row r="51" spans="1:15">
      <c r="A51" s="150" t="s">
        <v>142</v>
      </c>
      <c r="B51" s="150">
        <v>5</v>
      </c>
      <c r="C51" s="150">
        <v>5</v>
      </c>
      <c r="D51" s="150" t="s">
        <v>233</v>
      </c>
      <c r="E51" s="150" t="s">
        <v>229</v>
      </c>
      <c r="F51" s="150">
        <v>126</v>
      </c>
      <c r="G51" s="150" t="s">
        <v>235</v>
      </c>
      <c r="H51" s="150" t="s">
        <v>136</v>
      </c>
      <c r="I51" s="150" t="s">
        <v>132</v>
      </c>
      <c r="J51" s="150" t="s">
        <v>132</v>
      </c>
      <c r="K51" s="150" t="s">
        <v>283</v>
      </c>
      <c r="L51" s="190" t="s">
        <v>132</v>
      </c>
      <c r="M51" s="190" t="s">
        <v>132</v>
      </c>
      <c r="N51" s="190" t="s">
        <v>132</v>
      </c>
      <c r="O51" s="190" t="s">
        <v>132</v>
      </c>
    </row>
    <row r="52" spans="1:15">
      <c r="A52" s="150" t="s">
        <v>142</v>
      </c>
      <c r="B52" s="150">
        <v>3</v>
      </c>
      <c r="C52" s="150">
        <v>3</v>
      </c>
      <c r="D52" s="150" t="s">
        <v>233</v>
      </c>
      <c r="E52" s="150" t="s">
        <v>228</v>
      </c>
      <c r="F52" s="150">
        <v>28</v>
      </c>
      <c r="G52" s="150" t="s">
        <v>234</v>
      </c>
      <c r="H52" s="150" t="s">
        <v>136</v>
      </c>
      <c r="I52" s="150" t="s">
        <v>132</v>
      </c>
      <c r="J52" s="150" t="s">
        <v>132</v>
      </c>
      <c r="K52" s="150" t="s">
        <v>284</v>
      </c>
      <c r="L52" s="190" t="s">
        <v>132</v>
      </c>
      <c r="M52" s="190" t="s">
        <v>132</v>
      </c>
      <c r="N52" s="190" t="s">
        <v>132</v>
      </c>
      <c r="O52" s="190" t="s">
        <v>132</v>
      </c>
    </row>
    <row r="53" spans="1:15">
      <c r="A53" s="150" t="s">
        <v>142</v>
      </c>
      <c r="B53" s="150">
        <v>3</v>
      </c>
      <c r="C53" s="150">
        <v>3</v>
      </c>
      <c r="D53" s="150" t="s">
        <v>233</v>
      </c>
      <c r="E53" s="150" t="s">
        <v>228</v>
      </c>
      <c r="F53" s="150">
        <v>70</v>
      </c>
      <c r="G53" s="150" t="s">
        <v>235</v>
      </c>
      <c r="H53" s="150" t="s">
        <v>136</v>
      </c>
      <c r="I53" s="150" t="s">
        <v>132</v>
      </c>
      <c r="J53" s="150" t="s">
        <v>132</v>
      </c>
      <c r="K53" s="150" t="s">
        <v>284</v>
      </c>
      <c r="L53" s="190" t="s">
        <v>132</v>
      </c>
      <c r="M53" s="190" t="s">
        <v>132</v>
      </c>
      <c r="N53" s="190" t="s">
        <v>132</v>
      </c>
      <c r="O53" s="190" t="s">
        <v>132</v>
      </c>
    </row>
    <row r="54" spans="1:15">
      <c r="A54" s="150" t="s">
        <v>142</v>
      </c>
      <c r="B54" s="150">
        <v>6</v>
      </c>
      <c r="C54" s="150">
        <v>6</v>
      </c>
      <c r="D54" s="150" t="s">
        <v>233</v>
      </c>
      <c r="E54" s="150" t="s">
        <v>228</v>
      </c>
      <c r="F54" s="150">
        <v>126</v>
      </c>
      <c r="G54" s="150" t="s">
        <v>235</v>
      </c>
      <c r="H54" s="150" t="s">
        <v>136</v>
      </c>
      <c r="I54" s="150" t="s">
        <v>132</v>
      </c>
      <c r="J54" s="150" t="s">
        <v>132</v>
      </c>
      <c r="K54" s="150" t="s">
        <v>284</v>
      </c>
      <c r="L54" s="190" t="s">
        <v>132</v>
      </c>
      <c r="M54" s="190" t="s">
        <v>132</v>
      </c>
      <c r="N54" s="190" t="s">
        <v>132</v>
      </c>
      <c r="O54" s="190" t="s">
        <v>132</v>
      </c>
    </row>
    <row r="55" spans="1:15">
      <c r="A55" s="150" t="s">
        <v>142</v>
      </c>
      <c r="B55" s="150">
        <v>3</v>
      </c>
      <c r="C55" s="150">
        <v>3</v>
      </c>
      <c r="D55" s="150" t="s">
        <v>233</v>
      </c>
      <c r="E55" s="150" t="s">
        <v>230</v>
      </c>
      <c r="F55" s="150">
        <v>28</v>
      </c>
      <c r="G55" s="150" t="s">
        <v>234</v>
      </c>
      <c r="H55" s="150" t="s">
        <v>136</v>
      </c>
      <c r="I55" s="150" t="s">
        <v>132</v>
      </c>
      <c r="J55" s="150" t="s">
        <v>132</v>
      </c>
      <c r="K55" s="150" t="s">
        <v>284</v>
      </c>
      <c r="L55" s="190" t="s">
        <v>132</v>
      </c>
      <c r="M55" s="190" t="s">
        <v>132</v>
      </c>
      <c r="N55" s="190" t="s">
        <v>132</v>
      </c>
      <c r="O55" s="190" t="s">
        <v>132</v>
      </c>
    </row>
    <row r="56" spans="1:15">
      <c r="A56" s="150" t="s">
        <v>142</v>
      </c>
      <c r="B56" s="150">
        <v>3</v>
      </c>
      <c r="C56" s="150">
        <v>3</v>
      </c>
      <c r="D56" s="150" t="s">
        <v>233</v>
      </c>
      <c r="E56" s="150" t="s">
        <v>230</v>
      </c>
      <c r="F56" s="150">
        <v>70</v>
      </c>
      <c r="G56" s="150" t="s">
        <v>235</v>
      </c>
      <c r="H56" s="150" t="s">
        <v>136</v>
      </c>
      <c r="I56" s="150" t="s">
        <v>132</v>
      </c>
      <c r="J56" s="150" t="s">
        <v>132</v>
      </c>
      <c r="K56" s="150" t="s">
        <v>284</v>
      </c>
      <c r="L56" s="190" t="s">
        <v>132</v>
      </c>
      <c r="M56" s="190" t="s">
        <v>132</v>
      </c>
      <c r="N56" s="190" t="s">
        <v>132</v>
      </c>
      <c r="O56" s="190" t="s">
        <v>132</v>
      </c>
    </row>
    <row r="57" spans="1:15">
      <c r="A57" s="150" t="s">
        <v>142</v>
      </c>
      <c r="B57" s="150">
        <v>6</v>
      </c>
      <c r="C57" s="150">
        <v>6</v>
      </c>
      <c r="D57" s="150" t="s">
        <v>233</v>
      </c>
      <c r="E57" s="150" t="s">
        <v>230</v>
      </c>
      <c r="F57" s="150">
        <v>126</v>
      </c>
      <c r="G57" s="150" t="s">
        <v>235</v>
      </c>
      <c r="H57" s="150" t="s">
        <v>136</v>
      </c>
      <c r="I57" s="150" t="s">
        <v>132</v>
      </c>
      <c r="J57" s="150" t="s">
        <v>132</v>
      </c>
      <c r="K57" s="150" t="s">
        <v>284</v>
      </c>
      <c r="L57" s="190" t="s">
        <v>132</v>
      </c>
      <c r="M57" s="190" t="s">
        <v>132</v>
      </c>
      <c r="N57" s="190" t="s">
        <v>132</v>
      </c>
      <c r="O57" s="190" t="s">
        <v>132</v>
      </c>
    </row>
    <row r="58" spans="1:15">
      <c r="A58" s="150" t="s">
        <v>143</v>
      </c>
      <c r="B58" s="150">
        <v>6</v>
      </c>
      <c r="C58" s="150">
        <v>6</v>
      </c>
      <c r="D58" s="150" t="s">
        <v>233</v>
      </c>
      <c r="E58" s="150" t="s">
        <v>228</v>
      </c>
      <c r="F58" s="150">
        <v>56</v>
      </c>
      <c r="G58" s="150" t="s">
        <v>234</v>
      </c>
      <c r="H58" s="150" t="s">
        <v>136</v>
      </c>
      <c r="I58" s="150" t="s">
        <v>132</v>
      </c>
      <c r="J58" s="150" t="s">
        <v>132</v>
      </c>
      <c r="K58" s="150" t="s">
        <v>285</v>
      </c>
      <c r="L58" s="190" t="s">
        <v>132</v>
      </c>
      <c r="M58" s="190" t="s">
        <v>132</v>
      </c>
      <c r="N58" s="190" t="s">
        <v>132</v>
      </c>
      <c r="O58" s="190" t="s">
        <v>132</v>
      </c>
    </row>
    <row r="59" spans="1:15">
      <c r="A59" s="150" t="s">
        <v>143</v>
      </c>
      <c r="B59" s="150">
        <v>6</v>
      </c>
      <c r="C59" s="150">
        <v>6</v>
      </c>
      <c r="D59" s="150" t="s">
        <v>233</v>
      </c>
      <c r="E59" s="150" t="s">
        <v>230</v>
      </c>
      <c r="F59" s="150">
        <v>56</v>
      </c>
      <c r="G59" s="150" t="s">
        <v>234</v>
      </c>
      <c r="H59" s="150" t="s">
        <v>136</v>
      </c>
      <c r="I59" s="150" t="s">
        <v>132</v>
      </c>
      <c r="J59" s="150" t="s">
        <v>132</v>
      </c>
      <c r="K59" s="150" t="s">
        <v>285</v>
      </c>
      <c r="L59" s="190" t="s">
        <v>132</v>
      </c>
      <c r="M59" s="190" t="s">
        <v>132</v>
      </c>
      <c r="N59" s="190" t="s">
        <v>132</v>
      </c>
      <c r="O59" s="190" t="s">
        <v>132</v>
      </c>
    </row>
    <row r="60" spans="1:15">
      <c r="A60" s="150" t="s">
        <v>143</v>
      </c>
      <c r="B60" s="150">
        <v>6</v>
      </c>
      <c r="C60" s="150">
        <v>6</v>
      </c>
      <c r="D60" s="150" t="s">
        <v>233</v>
      </c>
      <c r="E60" s="150" t="s">
        <v>228</v>
      </c>
      <c r="F60" s="150">
        <v>56</v>
      </c>
      <c r="G60" s="150" t="s">
        <v>234</v>
      </c>
      <c r="H60" s="150" t="s">
        <v>136</v>
      </c>
      <c r="I60" s="150" t="s">
        <v>132</v>
      </c>
      <c r="J60" s="150" t="s">
        <v>132</v>
      </c>
      <c r="K60" s="150" t="s">
        <v>285</v>
      </c>
      <c r="L60" s="190" t="s">
        <v>132</v>
      </c>
      <c r="M60" s="190" t="s">
        <v>132</v>
      </c>
      <c r="N60" s="190" t="s">
        <v>132</v>
      </c>
      <c r="O60" s="190" t="s">
        <v>132</v>
      </c>
    </row>
    <row r="61" spans="1:15">
      <c r="A61" s="150" t="s">
        <v>143</v>
      </c>
      <c r="B61" s="150">
        <v>6</v>
      </c>
      <c r="C61" s="150">
        <v>6</v>
      </c>
      <c r="D61" s="150" t="s">
        <v>233</v>
      </c>
      <c r="E61" s="150" t="s">
        <v>230</v>
      </c>
      <c r="F61" s="150">
        <v>56</v>
      </c>
      <c r="G61" s="150" t="s">
        <v>234</v>
      </c>
      <c r="H61" s="150" t="s">
        <v>136</v>
      </c>
      <c r="I61" s="150" t="s">
        <v>132</v>
      </c>
      <c r="J61" s="150" t="s">
        <v>132</v>
      </c>
      <c r="K61" s="150" t="s">
        <v>285</v>
      </c>
      <c r="L61" s="190" t="s">
        <v>132</v>
      </c>
      <c r="M61" s="190" t="s">
        <v>132</v>
      </c>
      <c r="N61" s="190" t="s">
        <v>132</v>
      </c>
      <c r="O61" s="190" t="s">
        <v>132</v>
      </c>
    </row>
    <row r="62" spans="1:15">
      <c r="A62" s="150" t="s">
        <v>144</v>
      </c>
      <c r="B62" s="150">
        <v>3</v>
      </c>
      <c r="C62" s="150">
        <v>3</v>
      </c>
      <c r="D62" s="150" t="s">
        <v>233</v>
      </c>
      <c r="E62" s="150" t="s">
        <v>229</v>
      </c>
      <c r="F62" s="150">
        <v>56</v>
      </c>
      <c r="G62" s="150" t="s">
        <v>234</v>
      </c>
      <c r="H62" s="150" t="s">
        <v>136</v>
      </c>
      <c r="I62" s="150" t="s">
        <v>132</v>
      </c>
      <c r="J62" s="150" t="s">
        <v>132</v>
      </c>
      <c r="K62" s="150" t="s">
        <v>132</v>
      </c>
      <c r="L62" s="190" t="s">
        <v>132</v>
      </c>
      <c r="M62" s="190" t="s">
        <v>132</v>
      </c>
      <c r="N62" s="190" t="s">
        <v>132</v>
      </c>
      <c r="O62" s="190" t="s">
        <v>132</v>
      </c>
    </row>
    <row r="63" spans="1:15">
      <c r="A63" s="150" t="s">
        <v>144</v>
      </c>
      <c r="B63" s="150">
        <v>3</v>
      </c>
      <c r="C63" s="150">
        <v>3</v>
      </c>
      <c r="D63" s="150" t="s">
        <v>233</v>
      </c>
      <c r="E63" s="150" t="s">
        <v>230</v>
      </c>
      <c r="F63" s="150">
        <v>56</v>
      </c>
      <c r="G63" s="150" t="s">
        <v>234</v>
      </c>
      <c r="H63" s="150" t="s">
        <v>136</v>
      </c>
      <c r="I63" s="150" t="s">
        <v>132</v>
      </c>
      <c r="J63" s="150" t="s">
        <v>132</v>
      </c>
      <c r="K63" s="150" t="s">
        <v>132</v>
      </c>
      <c r="L63" s="190" t="s">
        <v>132</v>
      </c>
      <c r="M63" s="190" t="s">
        <v>132</v>
      </c>
      <c r="N63" s="190" t="s">
        <v>132</v>
      </c>
      <c r="O63" s="190" t="s">
        <v>132</v>
      </c>
    </row>
    <row r="64" spans="1:15">
      <c r="A64" s="150" t="s">
        <v>144</v>
      </c>
      <c r="B64" s="150">
        <v>3</v>
      </c>
      <c r="C64" s="150">
        <v>3</v>
      </c>
      <c r="D64" s="150" t="s">
        <v>233</v>
      </c>
      <c r="E64" s="150" t="s">
        <v>228</v>
      </c>
      <c r="F64" s="150">
        <v>56</v>
      </c>
      <c r="G64" s="150" t="s">
        <v>234</v>
      </c>
      <c r="H64" s="150" t="s">
        <v>136</v>
      </c>
      <c r="I64" s="150" t="s">
        <v>132</v>
      </c>
      <c r="J64" s="150" t="s">
        <v>132</v>
      </c>
      <c r="K64" s="150" t="s">
        <v>132</v>
      </c>
      <c r="L64" s="190" t="s">
        <v>132</v>
      </c>
      <c r="M64" s="190" t="s">
        <v>132</v>
      </c>
      <c r="N64" s="190" t="s">
        <v>132</v>
      </c>
      <c r="O64" s="190" t="s">
        <v>132</v>
      </c>
    </row>
    <row r="65" spans="1:15">
      <c r="A65" s="150" t="s">
        <v>144</v>
      </c>
      <c r="B65" s="150">
        <v>4</v>
      </c>
      <c r="C65" s="150">
        <v>4</v>
      </c>
      <c r="D65" s="150" t="s">
        <v>233</v>
      </c>
      <c r="E65" s="150" t="s">
        <v>229</v>
      </c>
      <c r="F65" s="150">
        <v>56</v>
      </c>
      <c r="G65" s="150" t="s">
        <v>234</v>
      </c>
      <c r="H65" s="150" t="s">
        <v>136</v>
      </c>
      <c r="I65" s="150" t="s">
        <v>132</v>
      </c>
      <c r="J65" s="150" t="s">
        <v>132</v>
      </c>
      <c r="K65" s="150" t="s">
        <v>132</v>
      </c>
      <c r="L65" s="190" t="s">
        <v>132</v>
      </c>
      <c r="M65" s="190" t="s">
        <v>132</v>
      </c>
      <c r="N65" s="190" t="s">
        <v>132</v>
      </c>
      <c r="O65" s="190" t="s">
        <v>132</v>
      </c>
    </row>
    <row r="66" spans="1:15">
      <c r="A66" s="150" t="s">
        <v>144</v>
      </c>
      <c r="B66" s="150">
        <v>4</v>
      </c>
      <c r="C66" s="150">
        <v>4</v>
      </c>
      <c r="D66" s="150" t="s">
        <v>233</v>
      </c>
      <c r="E66" s="150" t="s">
        <v>230</v>
      </c>
      <c r="F66" s="150">
        <v>56</v>
      </c>
      <c r="G66" s="150" t="s">
        <v>234</v>
      </c>
      <c r="H66" s="150" t="s">
        <v>136</v>
      </c>
      <c r="I66" s="150" t="s">
        <v>132</v>
      </c>
      <c r="J66" s="150" t="s">
        <v>132</v>
      </c>
      <c r="K66" s="150" t="s">
        <v>132</v>
      </c>
      <c r="L66" s="190" t="s">
        <v>132</v>
      </c>
      <c r="M66" s="190" t="s">
        <v>132</v>
      </c>
      <c r="N66" s="190" t="s">
        <v>132</v>
      </c>
      <c r="O66" s="190" t="s">
        <v>132</v>
      </c>
    </row>
    <row r="67" spans="1:15">
      <c r="A67" s="150" t="s">
        <v>144</v>
      </c>
      <c r="B67" s="150">
        <v>4</v>
      </c>
      <c r="C67" s="150">
        <v>4</v>
      </c>
      <c r="D67" s="150" t="s">
        <v>233</v>
      </c>
      <c r="E67" s="150" t="s">
        <v>228</v>
      </c>
      <c r="F67" s="150">
        <v>56</v>
      </c>
      <c r="G67" s="150" t="s">
        <v>234</v>
      </c>
      <c r="H67" s="150" t="s">
        <v>136</v>
      </c>
      <c r="I67" s="150" t="s">
        <v>132</v>
      </c>
      <c r="J67" s="150" t="s">
        <v>132</v>
      </c>
      <c r="K67" s="150" t="s">
        <v>132</v>
      </c>
      <c r="L67" s="190" t="s">
        <v>132</v>
      </c>
      <c r="M67" s="190" t="s">
        <v>132</v>
      </c>
      <c r="N67" s="190" t="s">
        <v>132</v>
      </c>
      <c r="O67" s="190" t="s">
        <v>132</v>
      </c>
    </row>
    <row r="68" spans="1:15">
      <c r="A68" s="150" t="s">
        <v>145</v>
      </c>
      <c r="B68" s="150">
        <v>4</v>
      </c>
      <c r="C68" s="150">
        <v>4</v>
      </c>
      <c r="D68" s="150" t="s">
        <v>233</v>
      </c>
      <c r="E68" s="150" t="s">
        <v>229</v>
      </c>
      <c r="F68" s="180">
        <v>63</v>
      </c>
      <c r="G68" s="150" t="s">
        <v>234</v>
      </c>
      <c r="H68" s="150" t="s">
        <v>136</v>
      </c>
      <c r="I68" s="150" t="s">
        <v>132</v>
      </c>
      <c r="J68" s="150" t="s">
        <v>132</v>
      </c>
      <c r="K68" s="150" t="s">
        <v>132</v>
      </c>
      <c r="L68" s="190" t="s">
        <v>132</v>
      </c>
      <c r="M68" s="190" t="s">
        <v>132</v>
      </c>
      <c r="N68" s="190" t="s">
        <v>132</v>
      </c>
      <c r="O68" s="190" t="s">
        <v>132</v>
      </c>
    </row>
    <row r="69" spans="1:15">
      <c r="A69" s="150" t="s">
        <v>146</v>
      </c>
      <c r="B69" s="150">
        <v>5</v>
      </c>
      <c r="C69" s="150">
        <v>5</v>
      </c>
      <c r="D69" s="150" t="s">
        <v>231</v>
      </c>
      <c r="E69" s="150" t="s">
        <v>231</v>
      </c>
      <c r="F69" s="150">
        <v>63</v>
      </c>
      <c r="G69" s="150" t="s">
        <v>234</v>
      </c>
      <c r="H69" s="150" t="s">
        <v>136</v>
      </c>
      <c r="I69" s="151" t="s">
        <v>240</v>
      </c>
      <c r="J69" s="150" t="s">
        <v>240</v>
      </c>
      <c r="K69" s="150" t="s">
        <v>283</v>
      </c>
      <c r="L69" s="189">
        <v>32.971176523311705</v>
      </c>
      <c r="M69" s="189">
        <v>11.093206524253812</v>
      </c>
      <c r="N69" s="189">
        <v>15.485404476978259</v>
      </c>
      <c r="O69" s="189">
        <v>1.0821155317780451</v>
      </c>
    </row>
    <row r="70" spans="1:15">
      <c r="A70" s="150" t="s">
        <v>146</v>
      </c>
      <c r="B70" s="150">
        <v>5</v>
      </c>
      <c r="C70" s="150">
        <v>5</v>
      </c>
      <c r="D70" s="150" t="s">
        <v>231</v>
      </c>
      <c r="E70" s="150" t="s">
        <v>231</v>
      </c>
      <c r="F70" s="150">
        <v>63</v>
      </c>
      <c r="G70" s="150" t="s">
        <v>234</v>
      </c>
      <c r="H70" s="150" t="s">
        <v>136</v>
      </c>
      <c r="I70" s="151" t="s">
        <v>239</v>
      </c>
      <c r="J70" s="150" t="s">
        <v>240</v>
      </c>
      <c r="K70" s="150" t="s">
        <v>283</v>
      </c>
      <c r="L70" s="189">
        <v>13.992298763228499</v>
      </c>
      <c r="M70" s="189">
        <v>12.490368403404519</v>
      </c>
      <c r="N70" s="189">
        <v>0.80326394054100669</v>
      </c>
      <c r="O70" s="189">
        <v>0.49629924992511709</v>
      </c>
    </row>
    <row r="71" spans="1:15">
      <c r="A71" s="150" t="s">
        <v>146</v>
      </c>
      <c r="B71" s="150">
        <v>5</v>
      </c>
      <c r="C71" s="150">
        <v>5</v>
      </c>
      <c r="D71" s="150" t="s">
        <v>231</v>
      </c>
      <c r="E71" s="150" t="s">
        <v>231</v>
      </c>
      <c r="F71" s="150">
        <v>63</v>
      </c>
      <c r="G71" s="150" t="s">
        <v>234</v>
      </c>
      <c r="H71" s="150" t="s">
        <v>136</v>
      </c>
      <c r="I71" s="151" t="s">
        <v>239</v>
      </c>
      <c r="J71" s="150" t="s">
        <v>240</v>
      </c>
      <c r="K71" s="150" t="s">
        <v>283</v>
      </c>
      <c r="L71" s="189">
        <v>14.357067946860729</v>
      </c>
      <c r="M71" s="189">
        <v>12.650291548255188</v>
      </c>
      <c r="N71" s="189">
        <v>0.59883459101887893</v>
      </c>
      <c r="O71" s="189">
        <v>0.50862131068562078</v>
      </c>
    </row>
    <row r="72" spans="1:15">
      <c r="A72" s="150" t="s">
        <v>146</v>
      </c>
      <c r="B72" s="150">
        <v>5</v>
      </c>
      <c r="C72" s="150">
        <v>5</v>
      </c>
      <c r="D72" s="150" t="s">
        <v>231</v>
      </c>
      <c r="E72" s="150" t="s">
        <v>231</v>
      </c>
      <c r="F72" s="150">
        <v>63</v>
      </c>
      <c r="G72" s="150" t="s">
        <v>234</v>
      </c>
      <c r="H72" s="150" t="s">
        <v>136</v>
      </c>
      <c r="I72" s="151" t="s">
        <v>239</v>
      </c>
      <c r="J72" s="150" t="s">
        <v>240</v>
      </c>
      <c r="K72" s="150" t="s">
        <v>283</v>
      </c>
      <c r="L72" s="189">
        <v>13.609641042828382</v>
      </c>
      <c r="M72" s="189">
        <v>12.025554006417217</v>
      </c>
      <c r="N72" s="189">
        <v>0.61850796491607007</v>
      </c>
      <c r="O72" s="189">
        <v>0.54027734938218719</v>
      </c>
    </row>
    <row r="73" spans="1:15">
      <c r="A73" s="150" t="s">
        <v>146</v>
      </c>
      <c r="B73" s="150">
        <v>5</v>
      </c>
      <c r="C73" s="150">
        <v>5</v>
      </c>
      <c r="D73" s="150" t="s">
        <v>231</v>
      </c>
      <c r="E73" s="150" t="s">
        <v>231</v>
      </c>
      <c r="F73" s="150">
        <v>63</v>
      </c>
      <c r="G73" s="150" t="s">
        <v>234</v>
      </c>
      <c r="H73" s="150" t="s">
        <v>136</v>
      </c>
      <c r="I73" s="151" t="s">
        <v>239</v>
      </c>
      <c r="J73" s="150" t="s">
        <v>240</v>
      </c>
      <c r="K73" s="150" t="s">
        <v>283</v>
      </c>
      <c r="L73" s="189">
        <v>14.420982421971777</v>
      </c>
      <c r="M73" s="189">
        <v>11.755017712890099</v>
      </c>
      <c r="N73" s="189">
        <v>0.4478197469008644</v>
      </c>
      <c r="O73" s="189">
        <v>0.81130641254002112</v>
      </c>
    </row>
    <row r="74" spans="1:15">
      <c r="A74" s="150" t="s">
        <v>146</v>
      </c>
      <c r="B74" s="150">
        <v>5</v>
      </c>
      <c r="C74" s="150">
        <v>5</v>
      </c>
      <c r="D74" s="150" t="s">
        <v>231</v>
      </c>
      <c r="E74" s="150" t="s">
        <v>231</v>
      </c>
      <c r="F74" s="150">
        <v>63</v>
      </c>
      <c r="G74" s="150" t="s">
        <v>234</v>
      </c>
      <c r="H74" s="150" t="s">
        <v>136</v>
      </c>
      <c r="I74" s="151" t="s">
        <v>240</v>
      </c>
      <c r="J74" s="151" t="s">
        <v>241</v>
      </c>
      <c r="K74" s="150" t="s">
        <v>283</v>
      </c>
      <c r="L74" s="189">
        <v>21.050557969298247</v>
      </c>
      <c r="M74" s="189">
        <v>12.525930608507732</v>
      </c>
      <c r="N74" s="189">
        <v>11.269217755777696</v>
      </c>
      <c r="O74" s="189">
        <v>4.2025090163558589</v>
      </c>
    </row>
    <row r="75" spans="1:15">
      <c r="A75" s="150" t="s">
        <v>146</v>
      </c>
      <c r="B75" s="150">
        <v>5</v>
      </c>
      <c r="C75" s="150">
        <v>5</v>
      </c>
      <c r="D75" s="150" t="s">
        <v>231</v>
      </c>
      <c r="E75" s="150" t="s">
        <v>231</v>
      </c>
      <c r="F75" s="150">
        <v>63</v>
      </c>
      <c r="G75" s="150" t="s">
        <v>234</v>
      </c>
      <c r="H75" s="150" t="s">
        <v>136</v>
      </c>
      <c r="I75" s="151" t="s">
        <v>239</v>
      </c>
      <c r="J75" s="151" t="s">
        <v>241</v>
      </c>
      <c r="K75" s="150" t="s">
        <v>283</v>
      </c>
      <c r="L75" s="189">
        <v>12.118737102650936</v>
      </c>
      <c r="M75" s="189">
        <v>12.661386888951489</v>
      </c>
      <c r="N75" s="189">
        <v>0.68770470990612376</v>
      </c>
      <c r="O75" s="189">
        <v>1.0531600167083506</v>
      </c>
    </row>
    <row r="76" spans="1:15">
      <c r="A76" s="150" t="s">
        <v>146</v>
      </c>
      <c r="B76" s="150">
        <v>5</v>
      </c>
      <c r="C76" s="150">
        <v>5</v>
      </c>
      <c r="D76" s="150" t="s">
        <v>231</v>
      </c>
      <c r="E76" s="150" t="s">
        <v>231</v>
      </c>
      <c r="F76" s="150">
        <v>63</v>
      </c>
      <c r="G76" s="150" t="s">
        <v>234</v>
      </c>
      <c r="H76" s="150" t="s">
        <v>136</v>
      </c>
      <c r="I76" s="151" t="s">
        <v>239</v>
      </c>
      <c r="J76" s="151" t="s">
        <v>241</v>
      </c>
      <c r="K76" s="150" t="s">
        <v>283</v>
      </c>
      <c r="L76" s="189">
        <v>12.726066771448174</v>
      </c>
      <c r="M76" s="189">
        <v>12.277361982633138</v>
      </c>
      <c r="N76" s="189">
        <v>0.98388108480024372</v>
      </c>
      <c r="O76" s="189">
        <v>0.55522976623690534</v>
      </c>
    </row>
    <row r="77" spans="1:15">
      <c r="A77" s="150" t="s">
        <v>146</v>
      </c>
      <c r="B77" s="150">
        <v>5</v>
      </c>
      <c r="C77" s="150">
        <v>5</v>
      </c>
      <c r="D77" s="150" t="s">
        <v>231</v>
      </c>
      <c r="E77" s="150" t="s">
        <v>231</v>
      </c>
      <c r="F77" s="150">
        <v>63</v>
      </c>
      <c r="G77" s="150" t="s">
        <v>234</v>
      </c>
      <c r="H77" s="150" t="s">
        <v>136</v>
      </c>
      <c r="I77" s="151" t="s">
        <v>239</v>
      </c>
      <c r="J77" s="151" t="s">
        <v>241</v>
      </c>
      <c r="K77" s="150" t="s">
        <v>283</v>
      </c>
      <c r="L77" s="189">
        <v>12.565068376538632</v>
      </c>
      <c r="M77" s="189">
        <v>12.530886231053097</v>
      </c>
      <c r="N77" s="189">
        <v>0.9334152174588588</v>
      </c>
      <c r="O77" s="189">
        <v>0.50178580555674079</v>
      </c>
    </row>
    <row r="78" spans="1:15">
      <c r="A78" s="150" t="s">
        <v>146</v>
      </c>
      <c r="B78" s="150">
        <v>5</v>
      </c>
      <c r="C78" s="150">
        <v>5</v>
      </c>
      <c r="D78" s="150" t="s">
        <v>231</v>
      </c>
      <c r="E78" s="150" t="s">
        <v>231</v>
      </c>
      <c r="F78" s="150">
        <v>63</v>
      </c>
      <c r="G78" s="150" t="s">
        <v>234</v>
      </c>
      <c r="H78" s="150" t="s">
        <v>136</v>
      </c>
      <c r="I78" s="151" t="s">
        <v>239</v>
      </c>
      <c r="J78" s="151" t="s">
        <v>241</v>
      </c>
      <c r="K78" s="150" t="s">
        <v>283</v>
      </c>
      <c r="L78" s="189">
        <v>13.434659583816199</v>
      </c>
      <c r="M78" s="189">
        <v>13.181015339946919</v>
      </c>
      <c r="N78" s="189">
        <v>0.58663133623738917</v>
      </c>
      <c r="O78" s="189">
        <v>0.7178888232570303</v>
      </c>
    </row>
    <row r="79" spans="1:15">
      <c r="A79" s="150" t="s">
        <v>147</v>
      </c>
      <c r="B79" s="150">
        <v>5</v>
      </c>
      <c r="C79" s="150">
        <v>5</v>
      </c>
      <c r="D79" s="150" t="s">
        <v>231</v>
      </c>
      <c r="E79" s="150" t="s">
        <v>231</v>
      </c>
      <c r="F79" s="150">
        <v>63</v>
      </c>
      <c r="G79" s="150" t="s">
        <v>234</v>
      </c>
      <c r="H79" s="150" t="s">
        <v>136</v>
      </c>
      <c r="I79" s="151" t="s">
        <v>240</v>
      </c>
      <c r="J79" s="150" t="s">
        <v>240</v>
      </c>
      <c r="K79" s="150" t="s">
        <v>283</v>
      </c>
      <c r="L79" s="190" t="s">
        <v>132</v>
      </c>
      <c r="M79" s="190" t="s">
        <v>132</v>
      </c>
      <c r="N79" s="190" t="s">
        <v>132</v>
      </c>
      <c r="O79" s="190" t="s">
        <v>132</v>
      </c>
    </row>
    <row r="80" spans="1:15">
      <c r="A80" s="150" t="s">
        <v>147</v>
      </c>
      <c r="B80" s="150">
        <v>5</v>
      </c>
      <c r="C80" s="150">
        <v>5</v>
      </c>
      <c r="D80" s="150" t="s">
        <v>231</v>
      </c>
      <c r="E80" s="150" t="s">
        <v>231</v>
      </c>
      <c r="F80" s="150">
        <v>63</v>
      </c>
      <c r="G80" s="150" t="s">
        <v>234</v>
      </c>
      <c r="H80" s="150" t="s">
        <v>136</v>
      </c>
      <c r="I80" s="151" t="s">
        <v>240</v>
      </c>
      <c r="J80" s="151" t="s">
        <v>241</v>
      </c>
      <c r="K80" s="150" t="s">
        <v>283</v>
      </c>
      <c r="L80" s="190" t="s">
        <v>132</v>
      </c>
      <c r="M80" s="190" t="s">
        <v>132</v>
      </c>
      <c r="N80" s="190" t="s">
        <v>132</v>
      </c>
      <c r="O80" s="190" t="s">
        <v>132</v>
      </c>
    </row>
    <row r="81" spans="1:15">
      <c r="A81" s="150" t="s">
        <v>147</v>
      </c>
      <c r="B81" s="150">
        <v>5</v>
      </c>
      <c r="C81" s="150">
        <v>5</v>
      </c>
      <c r="D81" s="150" t="s">
        <v>231</v>
      </c>
      <c r="E81" s="150" t="s">
        <v>231</v>
      </c>
      <c r="F81" s="150">
        <v>63</v>
      </c>
      <c r="G81" s="150" t="s">
        <v>234</v>
      </c>
      <c r="H81" s="150" t="s">
        <v>136</v>
      </c>
      <c r="I81" s="151" t="s">
        <v>240</v>
      </c>
      <c r="J81" s="151" t="s">
        <v>241</v>
      </c>
      <c r="K81" s="150" t="s">
        <v>283</v>
      </c>
      <c r="L81" s="190" t="s">
        <v>132</v>
      </c>
      <c r="M81" s="190" t="s">
        <v>132</v>
      </c>
      <c r="N81" s="190" t="s">
        <v>132</v>
      </c>
      <c r="O81" s="190" t="s">
        <v>132</v>
      </c>
    </row>
    <row r="82" spans="1:15">
      <c r="A82" s="150" t="s">
        <v>147</v>
      </c>
      <c r="B82" s="150">
        <v>5</v>
      </c>
      <c r="C82" s="150">
        <v>5</v>
      </c>
      <c r="D82" s="150" t="s">
        <v>231</v>
      </c>
      <c r="E82" s="150" t="s">
        <v>231</v>
      </c>
      <c r="F82" s="150">
        <v>63</v>
      </c>
      <c r="G82" s="150" t="s">
        <v>234</v>
      </c>
      <c r="H82" s="150" t="s">
        <v>136</v>
      </c>
      <c r="I82" s="151" t="s">
        <v>240</v>
      </c>
      <c r="J82" s="151" t="s">
        <v>241</v>
      </c>
      <c r="K82" s="150" t="s">
        <v>283</v>
      </c>
      <c r="L82" s="190" t="s">
        <v>132</v>
      </c>
      <c r="M82" s="190" t="s">
        <v>132</v>
      </c>
      <c r="N82" s="190" t="s">
        <v>132</v>
      </c>
      <c r="O82" s="190" t="s">
        <v>132</v>
      </c>
    </row>
    <row r="83" spans="1:15">
      <c r="A83" s="150" t="s">
        <v>147</v>
      </c>
      <c r="B83" s="150">
        <v>5</v>
      </c>
      <c r="C83" s="150">
        <v>5</v>
      </c>
      <c r="D83" s="150" t="s">
        <v>231</v>
      </c>
      <c r="E83" s="150" t="s">
        <v>231</v>
      </c>
      <c r="F83" s="150">
        <v>63</v>
      </c>
      <c r="G83" s="150" t="s">
        <v>234</v>
      </c>
      <c r="H83" s="150" t="s">
        <v>136</v>
      </c>
      <c r="I83" s="151" t="s">
        <v>240</v>
      </c>
      <c r="J83" s="151" t="s">
        <v>241</v>
      </c>
      <c r="K83" s="150" t="s">
        <v>283</v>
      </c>
      <c r="L83" s="190" t="s">
        <v>132</v>
      </c>
      <c r="M83" s="190" t="s">
        <v>132</v>
      </c>
      <c r="N83" s="190" t="s">
        <v>132</v>
      </c>
      <c r="O83" s="190" t="s">
        <v>132</v>
      </c>
    </row>
    <row r="84" spans="1:15">
      <c r="A84" s="150" t="s">
        <v>147</v>
      </c>
      <c r="B84" s="150">
        <v>5</v>
      </c>
      <c r="C84" s="150">
        <v>5</v>
      </c>
      <c r="D84" s="150" t="s">
        <v>231</v>
      </c>
      <c r="E84" s="150" t="s">
        <v>231</v>
      </c>
      <c r="F84" s="150">
        <v>63</v>
      </c>
      <c r="G84" s="150" t="s">
        <v>234</v>
      </c>
      <c r="H84" s="150" t="s">
        <v>136</v>
      </c>
      <c r="I84" s="151" t="s">
        <v>239</v>
      </c>
      <c r="J84" s="150" t="s">
        <v>240</v>
      </c>
      <c r="K84" s="150" t="s">
        <v>283</v>
      </c>
      <c r="L84" s="190" t="s">
        <v>132</v>
      </c>
      <c r="M84" s="190" t="s">
        <v>132</v>
      </c>
      <c r="N84" s="190" t="s">
        <v>132</v>
      </c>
      <c r="O84" s="190" t="s">
        <v>132</v>
      </c>
    </row>
    <row r="85" spans="1:15">
      <c r="A85" s="150" t="s">
        <v>147</v>
      </c>
      <c r="B85" s="150">
        <v>5</v>
      </c>
      <c r="C85" s="150">
        <v>5</v>
      </c>
      <c r="D85" s="150" t="s">
        <v>231</v>
      </c>
      <c r="E85" s="150" t="s">
        <v>231</v>
      </c>
      <c r="F85" s="150">
        <v>63</v>
      </c>
      <c r="G85" s="150" t="s">
        <v>234</v>
      </c>
      <c r="H85" s="150" t="s">
        <v>136</v>
      </c>
      <c r="I85" s="151" t="s">
        <v>239</v>
      </c>
      <c r="J85" s="151" t="s">
        <v>241</v>
      </c>
      <c r="K85" s="150" t="s">
        <v>283</v>
      </c>
      <c r="L85" s="190" t="s">
        <v>132</v>
      </c>
      <c r="M85" s="190" t="s">
        <v>132</v>
      </c>
      <c r="N85" s="190" t="s">
        <v>132</v>
      </c>
      <c r="O85" s="190" t="s">
        <v>132</v>
      </c>
    </row>
    <row r="86" spans="1:15">
      <c r="A86" s="150" t="s">
        <v>147</v>
      </c>
      <c r="B86" s="150">
        <v>5</v>
      </c>
      <c r="C86" s="150">
        <v>5</v>
      </c>
      <c r="D86" s="150" t="s">
        <v>231</v>
      </c>
      <c r="E86" s="150" t="s">
        <v>231</v>
      </c>
      <c r="F86" s="150">
        <v>63</v>
      </c>
      <c r="G86" s="150" t="s">
        <v>234</v>
      </c>
      <c r="H86" s="150" t="s">
        <v>136</v>
      </c>
      <c r="I86" s="151" t="s">
        <v>239</v>
      </c>
      <c r="J86" s="151" t="s">
        <v>241</v>
      </c>
      <c r="K86" s="150" t="s">
        <v>283</v>
      </c>
      <c r="L86" s="190" t="s">
        <v>132</v>
      </c>
      <c r="M86" s="190" t="s">
        <v>132</v>
      </c>
      <c r="N86" s="190" t="s">
        <v>132</v>
      </c>
      <c r="O86" s="190" t="s">
        <v>132</v>
      </c>
    </row>
    <row r="87" spans="1:15">
      <c r="A87" s="150" t="s">
        <v>147</v>
      </c>
      <c r="B87" s="150">
        <v>5</v>
      </c>
      <c r="C87" s="150">
        <v>5</v>
      </c>
      <c r="D87" s="150" t="s">
        <v>231</v>
      </c>
      <c r="E87" s="150" t="s">
        <v>231</v>
      </c>
      <c r="F87" s="150">
        <v>63</v>
      </c>
      <c r="G87" s="150" t="s">
        <v>234</v>
      </c>
      <c r="H87" s="150" t="s">
        <v>136</v>
      </c>
      <c r="I87" s="151" t="s">
        <v>239</v>
      </c>
      <c r="J87" s="151" t="s">
        <v>241</v>
      </c>
      <c r="K87" s="150" t="s">
        <v>283</v>
      </c>
      <c r="L87" s="190" t="s">
        <v>132</v>
      </c>
      <c r="M87" s="190" t="s">
        <v>132</v>
      </c>
      <c r="N87" s="190" t="s">
        <v>132</v>
      </c>
      <c r="O87" s="190" t="s">
        <v>132</v>
      </c>
    </row>
    <row r="88" spans="1:15">
      <c r="A88" s="150" t="s">
        <v>147</v>
      </c>
      <c r="B88" s="150">
        <v>5</v>
      </c>
      <c r="C88" s="150">
        <v>5</v>
      </c>
      <c r="D88" s="150" t="s">
        <v>231</v>
      </c>
      <c r="E88" s="150" t="s">
        <v>231</v>
      </c>
      <c r="F88" s="150">
        <v>63</v>
      </c>
      <c r="G88" s="150" t="s">
        <v>234</v>
      </c>
      <c r="H88" s="150" t="s">
        <v>136</v>
      </c>
      <c r="I88" s="151" t="s">
        <v>239</v>
      </c>
      <c r="J88" s="151" t="s">
        <v>241</v>
      </c>
      <c r="K88" s="150" t="s">
        <v>283</v>
      </c>
      <c r="L88" s="190" t="s">
        <v>132</v>
      </c>
      <c r="M88" s="190" t="s">
        <v>132</v>
      </c>
      <c r="N88" s="190" t="s">
        <v>132</v>
      </c>
      <c r="O88" s="190" t="s">
        <v>132</v>
      </c>
    </row>
    <row r="89" spans="1:15">
      <c r="A89" s="150" t="s">
        <v>148</v>
      </c>
      <c r="B89" s="150">
        <v>5</v>
      </c>
      <c r="C89" s="150">
        <v>5</v>
      </c>
      <c r="D89" s="150" t="s">
        <v>231</v>
      </c>
      <c r="E89" s="150" t="s">
        <v>231</v>
      </c>
      <c r="F89" s="150">
        <v>56</v>
      </c>
      <c r="G89" s="150" t="s">
        <v>234</v>
      </c>
      <c r="H89" s="150" t="s">
        <v>136</v>
      </c>
      <c r="I89" s="151" t="s">
        <v>239</v>
      </c>
      <c r="J89" s="151" t="s">
        <v>241</v>
      </c>
      <c r="K89" s="150" t="s">
        <v>283</v>
      </c>
      <c r="L89" s="189">
        <v>12.916522133369231</v>
      </c>
      <c r="M89" s="189">
        <v>12.707926719755992</v>
      </c>
      <c r="N89" s="189">
        <v>0.44642090395881423</v>
      </c>
      <c r="O89" s="189">
        <v>0.44288768932833372</v>
      </c>
    </row>
    <row r="90" spans="1:15">
      <c r="A90" s="150" t="s">
        <v>148</v>
      </c>
      <c r="B90" s="150">
        <v>5</v>
      </c>
      <c r="C90" s="150">
        <v>5</v>
      </c>
      <c r="D90" s="150" t="s">
        <v>231</v>
      </c>
      <c r="E90" s="150" t="s">
        <v>231</v>
      </c>
      <c r="F90" s="150">
        <v>56</v>
      </c>
      <c r="G90" s="150" t="s">
        <v>234</v>
      </c>
      <c r="H90" s="150" t="s">
        <v>136</v>
      </c>
      <c r="I90" s="151" t="s">
        <v>239</v>
      </c>
      <c r="J90" s="151" t="s">
        <v>241</v>
      </c>
      <c r="K90" s="150" t="s">
        <v>283</v>
      </c>
      <c r="L90" s="189">
        <v>12.799085538620288</v>
      </c>
      <c r="M90" s="189">
        <v>12.84100462574977</v>
      </c>
      <c r="N90" s="189">
        <v>0.32618899254038153</v>
      </c>
      <c r="O90" s="189">
        <v>0.33737804877259781</v>
      </c>
    </row>
    <row r="91" spans="1:15">
      <c r="A91" s="150" t="s">
        <v>148</v>
      </c>
      <c r="B91" s="150">
        <v>5</v>
      </c>
      <c r="C91" s="150">
        <v>5</v>
      </c>
      <c r="D91" s="150" t="s">
        <v>231</v>
      </c>
      <c r="E91" s="150" t="s">
        <v>231</v>
      </c>
      <c r="F91" s="150">
        <v>56</v>
      </c>
      <c r="G91" s="150" t="s">
        <v>234</v>
      </c>
      <c r="H91" s="150" t="s">
        <v>136</v>
      </c>
      <c r="I91" s="151" t="s">
        <v>239</v>
      </c>
      <c r="J91" s="151" t="s">
        <v>241</v>
      </c>
      <c r="K91" s="150" t="s">
        <v>283</v>
      </c>
      <c r="L91" s="189">
        <v>12.410369911885468</v>
      </c>
      <c r="M91" s="189">
        <v>12.687008198985357</v>
      </c>
      <c r="N91" s="189">
        <v>0.77422393376342991</v>
      </c>
      <c r="O91" s="189">
        <v>0.22181600035659571</v>
      </c>
    </row>
    <row r="92" spans="1:15">
      <c r="A92" s="150" t="s">
        <v>148</v>
      </c>
      <c r="B92" s="150">
        <v>5</v>
      </c>
      <c r="C92" s="150">
        <v>5</v>
      </c>
      <c r="D92" s="150" t="s">
        <v>231</v>
      </c>
      <c r="E92" s="150" t="s">
        <v>231</v>
      </c>
      <c r="F92" s="150">
        <v>56</v>
      </c>
      <c r="G92" s="150" t="s">
        <v>234</v>
      </c>
      <c r="H92" s="150" t="s">
        <v>136</v>
      </c>
      <c r="I92" s="151" t="s">
        <v>239</v>
      </c>
      <c r="J92" s="151" t="s">
        <v>241</v>
      </c>
      <c r="K92" s="150" t="s">
        <v>283</v>
      </c>
      <c r="L92" s="189">
        <v>13.196062846074133</v>
      </c>
      <c r="M92" s="189">
        <v>13.153371636923998</v>
      </c>
      <c r="N92" s="189">
        <v>0.32404200641851671</v>
      </c>
      <c r="O92" s="189">
        <v>0.72046644906401103</v>
      </c>
    </row>
    <row r="93" spans="1:15">
      <c r="A93" s="150" t="s">
        <v>148</v>
      </c>
      <c r="B93" s="150">
        <v>5</v>
      </c>
      <c r="C93" s="150">
        <v>5</v>
      </c>
      <c r="D93" s="150" t="s">
        <v>231</v>
      </c>
      <c r="E93" s="150" t="s">
        <v>231</v>
      </c>
      <c r="F93" s="150">
        <v>56</v>
      </c>
      <c r="G93" s="150" t="s">
        <v>234</v>
      </c>
      <c r="H93" s="150" t="s">
        <v>136</v>
      </c>
      <c r="I93" s="151" t="s">
        <v>239</v>
      </c>
      <c r="J93" s="151" t="s">
        <v>241</v>
      </c>
      <c r="K93" s="150" t="s">
        <v>283</v>
      </c>
      <c r="L93" s="189">
        <v>12.931038143945457</v>
      </c>
      <c r="M93" s="189">
        <v>12.714678123755666</v>
      </c>
      <c r="N93" s="189">
        <v>0.48306551030240047</v>
      </c>
      <c r="O93" s="189">
        <v>0.29958259272261561</v>
      </c>
    </row>
    <row r="94" spans="1:15">
      <c r="A94" s="150" t="s">
        <v>148</v>
      </c>
      <c r="B94" s="150">
        <v>5</v>
      </c>
      <c r="C94" s="150">
        <v>5</v>
      </c>
      <c r="D94" s="150" t="s">
        <v>231</v>
      </c>
      <c r="E94" s="150" t="s">
        <v>231</v>
      </c>
      <c r="F94" s="150">
        <v>56</v>
      </c>
      <c r="G94" s="150" t="s">
        <v>234</v>
      </c>
      <c r="H94" s="150" t="s">
        <v>136</v>
      </c>
      <c r="I94" s="151" t="s">
        <v>239</v>
      </c>
      <c r="J94" s="151" t="s">
        <v>241</v>
      </c>
      <c r="K94" s="150" t="s">
        <v>283</v>
      </c>
      <c r="L94" s="189">
        <v>13.003094521752724</v>
      </c>
      <c r="M94" s="189">
        <v>12.860864062967641</v>
      </c>
      <c r="N94" s="189">
        <v>0.45051610767319056</v>
      </c>
      <c r="O94" s="189">
        <v>0.61661280776670679</v>
      </c>
    </row>
    <row r="95" spans="1:15">
      <c r="A95" s="150" t="s">
        <v>149</v>
      </c>
      <c r="B95" s="150">
        <v>6</v>
      </c>
      <c r="C95" s="150">
        <v>6</v>
      </c>
      <c r="D95" s="150" t="s">
        <v>231</v>
      </c>
      <c r="E95" s="150" t="s">
        <v>231</v>
      </c>
      <c r="F95" s="150">
        <v>36</v>
      </c>
      <c r="G95" s="150" t="s">
        <v>234</v>
      </c>
      <c r="H95" s="150" t="s">
        <v>137</v>
      </c>
      <c r="I95" s="150" t="s">
        <v>132</v>
      </c>
      <c r="J95" s="150" t="s">
        <v>132</v>
      </c>
      <c r="K95" s="150" t="s">
        <v>283</v>
      </c>
      <c r="L95" s="190" t="s">
        <v>132</v>
      </c>
      <c r="M95" s="190" t="s">
        <v>132</v>
      </c>
      <c r="N95" s="190" t="s">
        <v>132</v>
      </c>
      <c r="O95" s="190" t="s">
        <v>132</v>
      </c>
    </row>
    <row r="96" spans="1:15">
      <c r="A96" s="150" t="s">
        <v>150</v>
      </c>
      <c r="B96" s="150">
        <v>4</v>
      </c>
      <c r="C96" s="150">
        <v>4</v>
      </c>
      <c r="D96" s="150" t="s">
        <v>233</v>
      </c>
      <c r="E96" s="150" t="s">
        <v>229</v>
      </c>
      <c r="F96" s="150">
        <v>7</v>
      </c>
      <c r="G96" s="150" t="s">
        <v>235</v>
      </c>
      <c r="H96" s="150" t="s">
        <v>136</v>
      </c>
      <c r="I96" s="150" t="s">
        <v>132</v>
      </c>
      <c r="J96" s="150" t="s">
        <v>132</v>
      </c>
      <c r="K96" s="150" t="s">
        <v>132</v>
      </c>
      <c r="L96" s="190" t="s">
        <v>132</v>
      </c>
      <c r="M96" s="190" t="s">
        <v>132</v>
      </c>
      <c r="N96" s="190" t="s">
        <v>132</v>
      </c>
      <c r="O96" s="190" t="s">
        <v>132</v>
      </c>
    </row>
    <row r="97" spans="1:15">
      <c r="A97" s="150" t="s">
        <v>150</v>
      </c>
      <c r="B97" s="150">
        <v>4</v>
      </c>
      <c r="C97" s="150">
        <v>4</v>
      </c>
      <c r="D97" s="150" t="s">
        <v>233</v>
      </c>
      <c r="E97" s="150" t="s">
        <v>228</v>
      </c>
      <c r="F97" s="150">
        <v>14</v>
      </c>
      <c r="G97" s="150" t="s">
        <v>235</v>
      </c>
      <c r="H97" s="150" t="s">
        <v>136</v>
      </c>
      <c r="I97" s="150" t="s">
        <v>132</v>
      </c>
      <c r="J97" s="150" t="s">
        <v>132</v>
      </c>
      <c r="K97" s="150" t="s">
        <v>132</v>
      </c>
      <c r="L97" s="190" t="s">
        <v>132</v>
      </c>
      <c r="M97" s="190" t="s">
        <v>132</v>
      </c>
      <c r="N97" s="190" t="s">
        <v>132</v>
      </c>
      <c r="O97" s="190" t="s">
        <v>132</v>
      </c>
    </row>
    <row r="98" spans="1:15">
      <c r="A98" s="150" t="s">
        <v>150</v>
      </c>
      <c r="B98" s="150">
        <v>4</v>
      </c>
      <c r="C98" s="150">
        <v>4</v>
      </c>
      <c r="D98" s="150" t="s">
        <v>233</v>
      </c>
      <c r="E98" s="150" t="s">
        <v>230</v>
      </c>
      <c r="F98" s="150">
        <v>21</v>
      </c>
      <c r="G98" s="150" t="s">
        <v>235</v>
      </c>
      <c r="H98" s="150" t="s">
        <v>136</v>
      </c>
      <c r="I98" s="150" t="s">
        <v>132</v>
      </c>
      <c r="J98" s="150" t="s">
        <v>132</v>
      </c>
      <c r="K98" s="150" t="s">
        <v>132</v>
      </c>
      <c r="L98" s="190" t="s">
        <v>132</v>
      </c>
      <c r="M98" s="190" t="s">
        <v>132</v>
      </c>
      <c r="N98" s="190" t="s">
        <v>132</v>
      </c>
      <c r="O98" s="190" t="s">
        <v>132</v>
      </c>
    </row>
    <row r="99" spans="1:15">
      <c r="A99" s="150" t="s">
        <v>151</v>
      </c>
      <c r="B99" s="150">
        <v>10</v>
      </c>
      <c r="C99" s="150">
        <v>10</v>
      </c>
      <c r="D99" s="150" t="s">
        <v>231</v>
      </c>
      <c r="E99" s="150" t="s">
        <v>231</v>
      </c>
      <c r="F99" s="150">
        <v>84</v>
      </c>
      <c r="G99" s="150" t="s">
        <v>235</v>
      </c>
      <c r="H99" s="150" t="s">
        <v>136</v>
      </c>
      <c r="I99" s="150" t="s">
        <v>132</v>
      </c>
      <c r="J99" s="150" t="s">
        <v>132</v>
      </c>
      <c r="K99" s="150" t="s">
        <v>132</v>
      </c>
      <c r="L99" s="190" t="s">
        <v>132</v>
      </c>
      <c r="M99" s="190" t="s">
        <v>132</v>
      </c>
      <c r="N99" s="190" t="s">
        <v>132</v>
      </c>
      <c r="O99" s="190" t="s">
        <v>132</v>
      </c>
    </row>
    <row r="100" spans="1:15">
      <c r="A100" s="150" t="s">
        <v>152</v>
      </c>
      <c r="B100" s="150">
        <v>3</v>
      </c>
      <c r="C100" s="150">
        <v>4</v>
      </c>
      <c r="D100" s="150" t="s">
        <v>231</v>
      </c>
      <c r="E100" s="150" t="s">
        <v>231</v>
      </c>
      <c r="F100" s="150">
        <v>70</v>
      </c>
      <c r="G100" s="150" t="s">
        <v>235</v>
      </c>
      <c r="H100" s="150" t="s">
        <v>136</v>
      </c>
      <c r="I100" s="150" t="s">
        <v>132</v>
      </c>
      <c r="J100" s="150" t="s">
        <v>132</v>
      </c>
      <c r="K100" s="150" t="s">
        <v>132</v>
      </c>
      <c r="L100" s="190" t="s">
        <v>132</v>
      </c>
      <c r="M100" s="190" t="s">
        <v>132</v>
      </c>
      <c r="N100" s="190" t="s">
        <v>132</v>
      </c>
      <c r="O100" s="190" t="s">
        <v>132</v>
      </c>
    </row>
  </sheetData>
  <pageMargins left="0.75" right="0.75" top="1" bottom="1" header="0.5" footer="0.5"/>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54"/>
  <sheetViews>
    <sheetView topLeftCell="B1" workbookViewId="0">
      <selection activeCell="R6" sqref="R6"/>
    </sheetView>
  </sheetViews>
  <sheetFormatPr baseColWidth="10" defaultRowHeight="16"/>
  <cols>
    <col min="1" max="1" width="10.83203125" style="152"/>
    <col min="2" max="9" width="10.83203125" style="150"/>
    <col min="10" max="12" width="10.83203125" style="152"/>
    <col min="13" max="16" width="10.83203125" style="150"/>
  </cols>
  <sheetData>
    <row r="1" spans="1:19">
      <c r="A1" s="185" t="s">
        <v>170</v>
      </c>
      <c r="B1" s="186" t="s">
        <v>112</v>
      </c>
      <c r="C1" s="186" t="s">
        <v>113</v>
      </c>
      <c r="D1" s="186" t="s">
        <v>114</v>
      </c>
      <c r="E1" s="186" t="s">
        <v>225</v>
      </c>
      <c r="F1" s="186" t="s">
        <v>232</v>
      </c>
      <c r="G1" s="186" t="s">
        <v>226</v>
      </c>
      <c r="H1" s="186" t="s">
        <v>236</v>
      </c>
      <c r="I1" s="186" t="s">
        <v>170</v>
      </c>
      <c r="J1" s="186" t="s">
        <v>237</v>
      </c>
      <c r="K1" s="186" t="s">
        <v>238</v>
      </c>
      <c r="L1" s="186" t="s">
        <v>286</v>
      </c>
      <c r="M1" s="186" t="s">
        <v>115</v>
      </c>
      <c r="N1" s="186" t="s">
        <v>116</v>
      </c>
      <c r="O1" s="186" t="s">
        <v>117</v>
      </c>
      <c r="P1" s="186" t="s">
        <v>118</v>
      </c>
    </row>
    <row r="2" spans="1:19">
      <c r="A2" s="185">
        <v>1</v>
      </c>
      <c r="B2" s="186" t="s">
        <v>119</v>
      </c>
      <c r="C2" s="186">
        <v>3</v>
      </c>
      <c r="D2" s="186">
        <v>3</v>
      </c>
      <c r="E2" s="186" t="s">
        <v>233</v>
      </c>
      <c r="F2" s="186" t="s">
        <v>229</v>
      </c>
      <c r="G2" s="186">
        <v>42</v>
      </c>
      <c r="H2" s="186" t="s">
        <v>234</v>
      </c>
      <c r="I2" s="186" t="s">
        <v>136</v>
      </c>
      <c r="J2" s="186" t="s">
        <v>132</v>
      </c>
      <c r="K2" s="186" t="s">
        <v>132</v>
      </c>
      <c r="L2" s="186" t="s">
        <v>132</v>
      </c>
      <c r="M2" s="186">
        <v>0</v>
      </c>
      <c r="N2" s="186">
        <v>42.1</v>
      </c>
      <c r="O2" s="186">
        <v>0</v>
      </c>
      <c r="P2" s="186">
        <v>16</v>
      </c>
      <c r="R2" t="s">
        <v>38</v>
      </c>
      <c r="S2" t="s">
        <v>35</v>
      </c>
    </row>
    <row r="3" spans="1:19">
      <c r="A3" s="185">
        <v>2</v>
      </c>
      <c r="B3" s="186" t="s">
        <v>119</v>
      </c>
      <c r="C3" s="186">
        <v>3</v>
      </c>
      <c r="D3" s="186">
        <v>3</v>
      </c>
      <c r="E3" s="186" t="s">
        <v>233</v>
      </c>
      <c r="F3" s="186" t="s">
        <v>229</v>
      </c>
      <c r="G3" s="186">
        <v>42</v>
      </c>
      <c r="H3" s="186" t="s">
        <v>234</v>
      </c>
      <c r="I3" s="186" t="s">
        <v>136</v>
      </c>
      <c r="J3" s="186" t="s">
        <v>132</v>
      </c>
      <c r="K3" s="186" t="s">
        <v>132</v>
      </c>
      <c r="L3" s="186" t="s">
        <v>132</v>
      </c>
      <c r="M3" s="186">
        <v>9.3000000000000007</v>
      </c>
      <c r="N3" s="186">
        <v>29.5</v>
      </c>
      <c r="O3" s="186">
        <v>2</v>
      </c>
      <c r="P3" s="186">
        <v>18</v>
      </c>
      <c r="Q3" t="s">
        <v>229</v>
      </c>
      <c r="R3" s="218">
        <f>AVERAGE(M2:M20)</f>
        <v>8.0157894736842117</v>
      </c>
      <c r="S3" s="218">
        <f>AVERAGE(N2:N20)</f>
        <v>41.612105263157893</v>
      </c>
    </row>
    <row r="4" spans="1:19">
      <c r="A4" s="185">
        <v>19</v>
      </c>
      <c r="B4" s="186" t="s">
        <v>153</v>
      </c>
      <c r="C4" s="186">
        <v>4</v>
      </c>
      <c r="D4" s="186">
        <v>4</v>
      </c>
      <c r="E4" s="186" t="s">
        <v>233</v>
      </c>
      <c r="F4" s="186" t="s">
        <v>229</v>
      </c>
      <c r="G4" s="186">
        <v>63</v>
      </c>
      <c r="H4" s="186" t="s">
        <v>234</v>
      </c>
      <c r="I4" s="186" t="s">
        <v>136</v>
      </c>
      <c r="J4" s="186" t="s">
        <v>240</v>
      </c>
      <c r="K4" s="186" t="s">
        <v>132</v>
      </c>
      <c r="L4" s="186" t="s">
        <v>284</v>
      </c>
      <c r="M4" s="186">
        <v>0</v>
      </c>
      <c r="N4" s="186">
        <v>30.43</v>
      </c>
      <c r="O4" s="186">
        <v>0</v>
      </c>
      <c r="P4" s="186">
        <v>10</v>
      </c>
      <c r="Q4" t="s">
        <v>370</v>
      </c>
      <c r="R4" s="218">
        <f>AVERAGE(M21:M29)</f>
        <v>30.222222222222221</v>
      </c>
      <c r="S4" s="218">
        <f>AVERAGE(N21:N29)</f>
        <v>72.033333333333331</v>
      </c>
    </row>
    <row r="5" spans="1:19">
      <c r="A5" s="185">
        <v>32</v>
      </c>
      <c r="B5" s="186" t="s">
        <v>140</v>
      </c>
      <c r="C5" s="186">
        <v>5</v>
      </c>
      <c r="D5" s="186">
        <v>5</v>
      </c>
      <c r="E5" s="186" t="s">
        <v>233</v>
      </c>
      <c r="F5" s="186" t="s">
        <v>229</v>
      </c>
      <c r="G5" s="186">
        <v>64</v>
      </c>
      <c r="H5" s="186" t="s">
        <v>234</v>
      </c>
      <c r="I5" s="186" t="s">
        <v>136</v>
      </c>
      <c r="J5" s="186" t="s">
        <v>240</v>
      </c>
      <c r="K5" s="186" t="s">
        <v>132</v>
      </c>
      <c r="L5" s="186" t="s">
        <v>284</v>
      </c>
      <c r="M5" s="186">
        <v>4.3</v>
      </c>
      <c r="N5" s="186">
        <v>66.3</v>
      </c>
      <c r="O5" s="186">
        <v>0.43</v>
      </c>
      <c r="P5" s="186">
        <v>6.63</v>
      </c>
      <c r="Q5" t="s">
        <v>228</v>
      </c>
      <c r="R5" s="218">
        <f>AVERAGE(M30:M42)</f>
        <v>1.9769230769230768</v>
      </c>
      <c r="S5" s="218">
        <f>AVERAGE(N30:N42)</f>
        <v>28.515384615384615</v>
      </c>
    </row>
    <row r="6" spans="1:19">
      <c r="A6" s="185">
        <v>33</v>
      </c>
      <c r="B6" s="186" t="s">
        <v>140</v>
      </c>
      <c r="C6" s="186">
        <v>5</v>
      </c>
      <c r="D6" s="186">
        <v>5</v>
      </c>
      <c r="E6" s="186" t="s">
        <v>233</v>
      </c>
      <c r="F6" s="186" t="s">
        <v>229</v>
      </c>
      <c r="G6" s="186">
        <v>64</v>
      </c>
      <c r="H6" s="186" t="s">
        <v>234</v>
      </c>
      <c r="I6" s="186" t="s">
        <v>136</v>
      </c>
      <c r="J6" s="186" t="s">
        <v>240</v>
      </c>
      <c r="K6" s="186" t="s">
        <v>132</v>
      </c>
      <c r="L6" s="186" t="s">
        <v>284</v>
      </c>
      <c r="M6" s="186">
        <v>3.7</v>
      </c>
      <c r="N6" s="186">
        <v>20.7</v>
      </c>
      <c r="O6" s="186">
        <v>0.37</v>
      </c>
      <c r="P6" s="186">
        <v>2.0699999999999998</v>
      </c>
    </row>
    <row r="7" spans="1:19">
      <c r="A7" s="185">
        <v>35</v>
      </c>
      <c r="B7" s="186" t="s">
        <v>140</v>
      </c>
      <c r="C7" s="186">
        <v>5</v>
      </c>
      <c r="D7" s="186">
        <v>5</v>
      </c>
      <c r="E7" s="186" t="s">
        <v>233</v>
      </c>
      <c r="F7" s="186" t="s">
        <v>229</v>
      </c>
      <c r="G7" s="186">
        <v>64</v>
      </c>
      <c r="H7" s="186" t="s">
        <v>234</v>
      </c>
      <c r="I7" s="186" t="s">
        <v>136</v>
      </c>
      <c r="J7" s="186" t="s">
        <v>240</v>
      </c>
      <c r="K7" s="186" t="s">
        <v>132</v>
      </c>
      <c r="L7" s="186" t="s">
        <v>283</v>
      </c>
      <c r="M7" s="186">
        <v>30</v>
      </c>
      <c r="N7" s="186">
        <v>82</v>
      </c>
      <c r="O7" s="186">
        <v>3</v>
      </c>
      <c r="P7" s="186">
        <v>8.1999999999999993</v>
      </c>
    </row>
    <row r="8" spans="1:19">
      <c r="A8" s="185">
        <v>36</v>
      </c>
      <c r="B8" s="186" t="s">
        <v>140</v>
      </c>
      <c r="C8" s="186">
        <v>5</v>
      </c>
      <c r="D8" s="186">
        <v>5</v>
      </c>
      <c r="E8" s="186" t="s">
        <v>233</v>
      </c>
      <c r="F8" s="186" t="s">
        <v>229</v>
      </c>
      <c r="G8" s="186">
        <v>64</v>
      </c>
      <c r="H8" s="186" t="s">
        <v>234</v>
      </c>
      <c r="I8" s="186" t="s">
        <v>136</v>
      </c>
      <c r="J8" s="186" t="s">
        <v>240</v>
      </c>
      <c r="K8" s="186" t="s">
        <v>132</v>
      </c>
      <c r="L8" s="186" t="s">
        <v>283</v>
      </c>
      <c r="M8" s="186">
        <v>28.3</v>
      </c>
      <c r="N8" s="186">
        <v>68</v>
      </c>
      <c r="O8" s="186">
        <v>2.83</v>
      </c>
      <c r="P8" s="186">
        <v>6.8</v>
      </c>
    </row>
    <row r="9" spans="1:19">
      <c r="A9" s="185">
        <v>37</v>
      </c>
      <c r="B9" s="186" t="s">
        <v>141</v>
      </c>
      <c r="C9" s="186">
        <v>5</v>
      </c>
      <c r="D9" s="186">
        <v>5</v>
      </c>
      <c r="E9" s="186" t="s">
        <v>233</v>
      </c>
      <c r="F9" s="186" t="s">
        <v>229</v>
      </c>
      <c r="G9" s="186">
        <v>21</v>
      </c>
      <c r="H9" s="186" t="s">
        <v>234</v>
      </c>
      <c r="I9" s="186" t="s">
        <v>136</v>
      </c>
      <c r="J9" s="186" t="s">
        <v>132</v>
      </c>
      <c r="K9" s="186" t="s">
        <v>132</v>
      </c>
      <c r="L9" s="186" t="s">
        <v>283</v>
      </c>
      <c r="M9" s="186">
        <v>12.3</v>
      </c>
      <c r="N9" s="186">
        <v>42.8</v>
      </c>
      <c r="O9" s="186">
        <v>1.23</v>
      </c>
      <c r="P9" s="186">
        <v>4.28</v>
      </c>
    </row>
    <row r="10" spans="1:19">
      <c r="A10" s="185">
        <v>38</v>
      </c>
      <c r="B10" s="186" t="s">
        <v>141</v>
      </c>
      <c r="C10" s="186">
        <v>5</v>
      </c>
      <c r="D10" s="186">
        <v>5</v>
      </c>
      <c r="E10" s="186" t="s">
        <v>233</v>
      </c>
      <c r="F10" s="186" t="s">
        <v>229</v>
      </c>
      <c r="G10" s="186">
        <v>42</v>
      </c>
      <c r="H10" s="186" t="s">
        <v>234</v>
      </c>
      <c r="I10" s="186" t="s">
        <v>136</v>
      </c>
      <c r="J10" s="186" t="s">
        <v>132</v>
      </c>
      <c r="K10" s="186" t="s">
        <v>132</v>
      </c>
      <c r="L10" s="186" t="s">
        <v>283</v>
      </c>
      <c r="M10" s="186">
        <v>8.1</v>
      </c>
      <c r="N10" s="186">
        <v>26.7</v>
      </c>
      <c r="O10" s="186">
        <v>0.81</v>
      </c>
      <c r="P10" s="186">
        <v>2.67</v>
      </c>
    </row>
    <row r="11" spans="1:19">
      <c r="A11" s="185">
        <v>45</v>
      </c>
      <c r="B11" s="186" t="s">
        <v>142</v>
      </c>
      <c r="C11" s="186">
        <v>5</v>
      </c>
      <c r="D11" s="186">
        <v>5</v>
      </c>
      <c r="E11" s="186" t="s">
        <v>233</v>
      </c>
      <c r="F11" s="186" t="s">
        <v>229</v>
      </c>
      <c r="G11" s="186">
        <v>28</v>
      </c>
      <c r="H11" s="186" t="s">
        <v>234</v>
      </c>
      <c r="I11" s="186" t="s">
        <v>136</v>
      </c>
      <c r="J11" s="186" t="s">
        <v>132</v>
      </c>
      <c r="K11" s="186" t="s">
        <v>132</v>
      </c>
      <c r="L11" s="186" t="s">
        <v>284</v>
      </c>
      <c r="M11" s="187">
        <v>0</v>
      </c>
      <c r="N11" s="187">
        <v>2</v>
      </c>
      <c r="O11" s="186">
        <v>0</v>
      </c>
      <c r="P11" s="187">
        <v>1</v>
      </c>
    </row>
    <row r="12" spans="1:19">
      <c r="A12" s="185">
        <v>46</v>
      </c>
      <c r="B12" s="186" t="s">
        <v>142</v>
      </c>
      <c r="C12" s="186">
        <v>5</v>
      </c>
      <c r="D12" s="186">
        <v>5</v>
      </c>
      <c r="E12" s="186" t="s">
        <v>233</v>
      </c>
      <c r="F12" s="186" t="s">
        <v>229</v>
      </c>
      <c r="G12" s="186">
        <v>70</v>
      </c>
      <c r="H12" s="186" t="s">
        <v>235</v>
      </c>
      <c r="I12" s="186" t="s">
        <v>136</v>
      </c>
      <c r="J12" s="186" t="s">
        <v>132</v>
      </c>
      <c r="K12" s="186" t="s">
        <v>132</v>
      </c>
      <c r="L12" s="186" t="s">
        <v>284</v>
      </c>
      <c r="M12" s="187">
        <v>0</v>
      </c>
      <c r="N12" s="187">
        <v>12</v>
      </c>
      <c r="O12" s="186">
        <v>0</v>
      </c>
      <c r="P12" s="187">
        <v>6</v>
      </c>
    </row>
    <row r="13" spans="1:19">
      <c r="A13" s="185">
        <v>47</v>
      </c>
      <c r="B13" s="186" t="s">
        <v>142</v>
      </c>
      <c r="C13" s="186">
        <v>5</v>
      </c>
      <c r="D13" s="186">
        <v>5</v>
      </c>
      <c r="E13" s="186" t="s">
        <v>233</v>
      </c>
      <c r="F13" s="186" t="s">
        <v>229</v>
      </c>
      <c r="G13" s="186">
        <v>112</v>
      </c>
      <c r="H13" s="186" t="s">
        <v>235</v>
      </c>
      <c r="I13" s="186" t="s">
        <v>136</v>
      </c>
      <c r="J13" s="186" t="s">
        <v>132</v>
      </c>
      <c r="K13" s="186" t="s">
        <v>132</v>
      </c>
      <c r="L13" s="186" t="s">
        <v>284</v>
      </c>
      <c r="M13" s="187">
        <v>0</v>
      </c>
      <c r="N13" s="187">
        <v>13</v>
      </c>
      <c r="O13" s="186">
        <v>0</v>
      </c>
      <c r="P13" s="187">
        <v>1</v>
      </c>
    </row>
    <row r="14" spans="1:19">
      <c r="A14" s="185">
        <v>48</v>
      </c>
      <c r="B14" s="186" t="s">
        <v>142</v>
      </c>
      <c r="C14" s="186">
        <v>3</v>
      </c>
      <c r="D14" s="186">
        <v>3</v>
      </c>
      <c r="E14" s="186" t="s">
        <v>233</v>
      </c>
      <c r="F14" s="186" t="s">
        <v>229</v>
      </c>
      <c r="G14" s="186">
        <v>28</v>
      </c>
      <c r="H14" s="186" t="s">
        <v>234</v>
      </c>
      <c r="I14" s="186" t="s">
        <v>136</v>
      </c>
      <c r="J14" s="186" t="s">
        <v>132</v>
      </c>
      <c r="K14" s="186" t="s">
        <v>132</v>
      </c>
      <c r="L14" s="186" t="s">
        <v>283</v>
      </c>
      <c r="M14" s="187">
        <v>15</v>
      </c>
      <c r="N14" s="187">
        <v>20</v>
      </c>
      <c r="O14" s="187">
        <v>11</v>
      </c>
      <c r="P14" s="187">
        <v>6</v>
      </c>
    </row>
    <row r="15" spans="1:19">
      <c r="A15" s="185">
        <v>49</v>
      </c>
      <c r="B15" s="186" t="s">
        <v>142</v>
      </c>
      <c r="C15" s="186">
        <v>3</v>
      </c>
      <c r="D15" s="186">
        <v>3</v>
      </c>
      <c r="E15" s="186" t="s">
        <v>233</v>
      </c>
      <c r="F15" s="186" t="s">
        <v>229</v>
      </c>
      <c r="G15" s="186">
        <v>70</v>
      </c>
      <c r="H15" s="186" t="s">
        <v>235</v>
      </c>
      <c r="I15" s="186" t="s">
        <v>136</v>
      </c>
      <c r="J15" s="186" t="s">
        <v>132</v>
      </c>
      <c r="K15" s="186" t="s">
        <v>132</v>
      </c>
      <c r="L15" s="186" t="s">
        <v>283</v>
      </c>
      <c r="M15" s="187">
        <v>7</v>
      </c>
      <c r="N15" s="187">
        <v>32</v>
      </c>
      <c r="O15" s="187">
        <v>2</v>
      </c>
      <c r="P15" s="187">
        <v>11</v>
      </c>
    </row>
    <row r="16" spans="1:19">
      <c r="A16" s="185">
        <v>50</v>
      </c>
      <c r="B16" s="186" t="s">
        <v>142</v>
      </c>
      <c r="C16" s="186">
        <v>5</v>
      </c>
      <c r="D16" s="186">
        <v>5</v>
      </c>
      <c r="E16" s="186" t="s">
        <v>233</v>
      </c>
      <c r="F16" s="186" t="s">
        <v>229</v>
      </c>
      <c r="G16" s="186">
        <v>126</v>
      </c>
      <c r="H16" s="186" t="s">
        <v>235</v>
      </c>
      <c r="I16" s="186" t="s">
        <v>136</v>
      </c>
      <c r="J16" s="186" t="s">
        <v>132</v>
      </c>
      <c r="K16" s="186" t="s">
        <v>132</v>
      </c>
      <c r="L16" s="186" t="s">
        <v>283</v>
      </c>
      <c r="M16" s="187">
        <v>14</v>
      </c>
      <c r="N16" s="187">
        <v>64</v>
      </c>
      <c r="O16" s="187">
        <v>5</v>
      </c>
      <c r="P16" s="187">
        <v>26</v>
      </c>
    </row>
    <row r="17" spans="1:16">
      <c r="A17" s="185">
        <v>61</v>
      </c>
      <c r="B17" s="186" t="s">
        <v>144</v>
      </c>
      <c r="C17" s="186">
        <v>3</v>
      </c>
      <c r="D17" s="186">
        <v>3</v>
      </c>
      <c r="E17" s="186" t="s">
        <v>233</v>
      </c>
      <c r="F17" s="186" t="s">
        <v>229</v>
      </c>
      <c r="G17" s="186">
        <v>56</v>
      </c>
      <c r="H17" s="186" t="s">
        <v>234</v>
      </c>
      <c r="I17" s="186" t="s">
        <v>136</v>
      </c>
      <c r="J17" s="186" t="s">
        <v>132</v>
      </c>
      <c r="K17" s="186" t="s">
        <v>132</v>
      </c>
      <c r="L17" s="186" t="s">
        <v>132</v>
      </c>
      <c r="M17" s="186">
        <v>0</v>
      </c>
      <c r="N17" s="186">
        <v>73</v>
      </c>
      <c r="O17" s="185">
        <v>0</v>
      </c>
      <c r="P17" s="185">
        <v>5.19</v>
      </c>
    </row>
    <row r="18" spans="1:16">
      <c r="A18" s="185">
        <v>64</v>
      </c>
      <c r="B18" s="186" t="s">
        <v>144</v>
      </c>
      <c r="C18" s="186">
        <v>4</v>
      </c>
      <c r="D18" s="186">
        <v>4</v>
      </c>
      <c r="E18" s="186" t="s">
        <v>233</v>
      </c>
      <c r="F18" s="186" t="s">
        <v>229</v>
      </c>
      <c r="G18" s="186">
        <v>56</v>
      </c>
      <c r="H18" s="186" t="s">
        <v>234</v>
      </c>
      <c r="I18" s="186" t="s">
        <v>136</v>
      </c>
      <c r="J18" s="186" t="s">
        <v>132</v>
      </c>
      <c r="K18" s="186" t="s">
        <v>132</v>
      </c>
      <c r="L18" s="186" t="s">
        <v>132</v>
      </c>
      <c r="M18" s="186">
        <v>0</v>
      </c>
      <c r="N18" s="186">
        <v>79</v>
      </c>
      <c r="O18" s="185">
        <v>0</v>
      </c>
      <c r="P18" s="185">
        <v>8.65</v>
      </c>
    </row>
    <row r="19" spans="1:16">
      <c r="A19" s="185">
        <v>67</v>
      </c>
      <c r="B19" s="186" t="s">
        <v>145</v>
      </c>
      <c r="C19" s="186">
        <v>4</v>
      </c>
      <c r="D19" s="186">
        <v>4</v>
      </c>
      <c r="E19" s="186" t="s">
        <v>233</v>
      </c>
      <c r="F19" s="186" t="s">
        <v>229</v>
      </c>
      <c r="G19" s="186">
        <v>63</v>
      </c>
      <c r="H19" s="186" t="s">
        <v>234</v>
      </c>
      <c r="I19" s="186" t="s">
        <v>136</v>
      </c>
      <c r="J19" s="186" t="s">
        <v>132</v>
      </c>
      <c r="K19" s="186" t="s">
        <v>132</v>
      </c>
      <c r="L19" s="186" t="s">
        <v>132</v>
      </c>
      <c r="M19" s="187">
        <v>4</v>
      </c>
      <c r="N19" s="187">
        <v>29</v>
      </c>
      <c r="O19" s="186">
        <v>0.41699999999999998</v>
      </c>
      <c r="P19" s="186">
        <v>2.92</v>
      </c>
    </row>
    <row r="20" spans="1:16">
      <c r="A20" s="185">
        <v>95</v>
      </c>
      <c r="B20" s="186" t="s">
        <v>150</v>
      </c>
      <c r="C20" s="186">
        <v>4</v>
      </c>
      <c r="D20" s="186">
        <v>4</v>
      </c>
      <c r="E20" s="186" t="s">
        <v>233</v>
      </c>
      <c r="F20" s="186" t="s">
        <v>229</v>
      </c>
      <c r="G20" s="186" t="s">
        <v>132</v>
      </c>
      <c r="H20" s="186" t="s">
        <v>235</v>
      </c>
      <c r="I20" s="186" t="s">
        <v>136</v>
      </c>
      <c r="J20" s="186" t="s">
        <v>132</v>
      </c>
      <c r="K20" s="186" t="s">
        <v>132</v>
      </c>
      <c r="L20" s="186" t="s">
        <v>132</v>
      </c>
      <c r="M20" s="186">
        <v>16.3</v>
      </c>
      <c r="N20" s="186">
        <v>58.1</v>
      </c>
      <c r="O20" s="186">
        <v>1.63</v>
      </c>
      <c r="P20" s="186">
        <v>5.81</v>
      </c>
    </row>
    <row r="21" spans="1:16">
      <c r="A21" s="185">
        <v>34</v>
      </c>
      <c r="B21" s="186" t="s">
        <v>140</v>
      </c>
      <c r="C21" s="186">
        <v>5</v>
      </c>
      <c r="D21" s="186">
        <v>5</v>
      </c>
      <c r="E21" s="186" t="s">
        <v>233</v>
      </c>
      <c r="F21" s="186" t="s">
        <v>230</v>
      </c>
      <c r="G21" s="186">
        <v>64</v>
      </c>
      <c r="H21" s="186" t="s">
        <v>234</v>
      </c>
      <c r="I21" s="186" t="s">
        <v>136</v>
      </c>
      <c r="J21" s="186" t="s">
        <v>240</v>
      </c>
      <c r="K21" s="186" t="s">
        <v>132</v>
      </c>
      <c r="L21" s="186" t="s">
        <v>284</v>
      </c>
      <c r="M21" s="186">
        <v>76</v>
      </c>
      <c r="N21" s="186">
        <v>96</v>
      </c>
      <c r="O21" s="186">
        <v>7.6</v>
      </c>
      <c r="P21" s="186">
        <v>9.6</v>
      </c>
    </row>
    <row r="22" spans="1:16">
      <c r="A22" s="185">
        <v>54</v>
      </c>
      <c r="B22" s="186" t="s">
        <v>142</v>
      </c>
      <c r="C22" s="186">
        <v>3</v>
      </c>
      <c r="D22" s="186">
        <v>3</v>
      </c>
      <c r="E22" s="186" t="s">
        <v>233</v>
      </c>
      <c r="F22" s="186" t="s">
        <v>230</v>
      </c>
      <c r="G22" s="186">
        <v>28</v>
      </c>
      <c r="H22" s="186" t="s">
        <v>234</v>
      </c>
      <c r="I22" s="186" t="s">
        <v>136</v>
      </c>
      <c r="J22" s="186" t="s">
        <v>132</v>
      </c>
      <c r="K22" s="186" t="s">
        <v>132</v>
      </c>
      <c r="L22" s="186" t="s">
        <v>284</v>
      </c>
      <c r="M22" s="187">
        <v>5</v>
      </c>
      <c r="N22" s="187">
        <v>31</v>
      </c>
      <c r="O22" s="187">
        <v>5</v>
      </c>
      <c r="P22" s="187">
        <v>9</v>
      </c>
    </row>
    <row r="23" spans="1:16">
      <c r="A23" s="185">
        <v>55</v>
      </c>
      <c r="B23" s="186" t="s">
        <v>142</v>
      </c>
      <c r="C23" s="186">
        <v>3</v>
      </c>
      <c r="D23" s="186">
        <v>3</v>
      </c>
      <c r="E23" s="186" t="s">
        <v>233</v>
      </c>
      <c r="F23" s="186" t="s">
        <v>230</v>
      </c>
      <c r="G23" s="186">
        <v>70</v>
      </c>
      <c r="H23" s="186" t="s">
        <v>235</v>
      </c>
      <c r="I23" s="186" t="s">
        <v>136</v>
      </c>
      <c r="J23" s="186" t="s">
        <v>132</v>
      </c>
      <c r="K23" s="186" t="s">
        <v>132</v>
      </c>
      <c r="L23" s="186" t="s">
        <v>284</v>
      </c>
      <c r="M23" s="187">
        <v>36</v>
      </c>
      <c r="N23" s="187">
        <v>90</v>
      </c>
      <c r="O23" s="187">
        <v>5</v>
      </c>
      <c r="P23" s="187">
        <v>6</v>
      </c>
    </row>
    <row r="24" spans="1:16">
      <c r="A24" s="185">
        <v>56</v>
      </c>
      <c r="B24" s="186" t="s">
        <v>142</v>
      </c>
      <c r="C24" s="186">
        <v>6</v>
      </c>
      <c r="D24" s="186">
        <v>6</v>
      </c>
      <c r="E24" s="186" t="s">
        <v>233</v>
      </c>
      <c r="F24" s="186" t="s">
        <v>230</v>
      </c>
      <c r="G24" s="186">
        <v>126</v>
      </c>
      <c r="H24" s="186" t="s">
        <v>235</v>
      </c>
      <c r="I24" s="186" t="s">
        <v>136</v>
      </c>
      <c r="J24" s="186" t="s">
        <v>132</v>
      </c>
      <c r="K24" s="186" t="s">
        <v>132</v>
      </c>
      <c r="L24" s="186" t="s">
        <v>284</v>
      </c>
      <c r="M24" s="187">
        <v>47</v>
      </c>
      <c r="N24" s="187">
        <v>95</v>
      </c>
      <c r="O24" s="187">
        <v>23</v>
      </c>
      <c r="P24" s="187">
        <v>7</v>
      </c>
    </row>
    <row r="25" spans="1:16">
      <c r="A25" s="185">
        <v>58</v>
      </c>
      <c r="B25" s="186" t="s">
        <v>143</v>
      </c>
      <c r="C25" s="186">
        <v>6</v>
      </c>
      <c r="D25" s="186">
        <v>6</v>
      </c>
      <c r="E25" s="186" t="s">
        <v>233</v>
      </c>
      <c r="F25" s="186" t="s">
        <v>230</v>
      </c>
      <c r="G25" s="186">
        <v>56</v>
      </c>
      <c r="H25" s="186" t="s">
        <v>234</v>
      </c>
      <c r="I25" s="186" t="s">
        <v>136</v>
      </c>
      <c r="J25" s="186" t="s">
        <v>132</v>
      </c>
      <c r="K25" s="186" t="s">
        <v>132</v>
      </c>
      <c r="L25" s="186" t="s">
        <v>285</v>
      </c>
      <c r="M25" s="187">
        <v>9</v>
      </c>
      <c r="N25" s="187">
        <v>26</v>
      </c>
      <c r="O25" s="187">
        <v>5</v>
      </c>
      <c r="P25" s="187">
        <v>16</v>
      </c>
    </row>
    <row r="26" spans="1:16">
      <c r="A26" s="185">
        <v>60</v>
      </c>
      <c r="B26" s="186" t="s">
        <v>143</v>
      </c>
      <c r="C26" s="186">
        <v>6</v>
      </c>
      <c r="D26" s="186">
        <v>6</v>
      </c>
      <c r="E26" s="186" t="s">
        <v>233</v>
      </c>
      <c r="F26" s="186" t="s">
        <v>230</v>
      </c>
      <c r="G26" s="186">
        <v>56</v>
      </c>
      <c r="H26" s="186" t="s">
        <v>234</v>
      </c>
      <c r="I26" s="186" t="s">
        <v>136</v>
      </c>
      <c r="J26" s="186" t="s">
        <v>132</v>
      </c>
      <c r="K26" s="186" t="s">
        <v>132</v>
      </c>
      <c r="L26" s="186" t="s">
        <v>285</v>
      </c>
      <c r="M26" s="187">
        <v>16</v>
      </c>
      <c r="N26" s="187">
        <v>48</v>
      </c>
      <c r="O26" s="187">
        <v>13</v>
      </c>
      <c r="P26" s="187">
        <v>15</v>
      </c>
    </row>
    <row r="27" spans="1:16">
      <c r="A27" s="185">
        <v>62</v>
      </c>
      <c r="B27" s="186" t="s">
        <v>144</v>
      </c>
      <c r="C27" s="186">
        <v>3</v>
      </c>
      <c r="D27" s="186">
        <v>3</v>
      </c>
      <c r="E27" s="186" t="s">
        <v>233</v>
      </c>
      <c r="F27" s="186" t="s">
        <v>230</v>
      </c>
      <c r="G27" s="186">
        <v>56</v>
      </c>
      <c r="H27" s="186" t="s">
        <v>234</v>
      </c>
      <c r="I27" s="186" t="s">
        <v>136</v>
      </c>
      <c r="J27" s="186" t="s">
        <v>132</v>
      </c>
      <c r="K27" s="186" t="s">
        <v>132</v>
      </c>
      <c r="L27" s="186" t="s">
        <v>132</v>
      </c>
      <c r="M27" s="186">
        <v>19</v>
      </c>
      <c r="N27" s="186">
        <v>88</v>
      </c>
      <c r="O27" s="185">
        <v>5.19</v>
      </c>
      <c r="P27" s="185">
        <v>3.46</v>
      </c>
    </row>
    <row r="28" spans="1:16">
      <c r="A28" s="185">
        <v>65</v>
      </c>
      <c r="B28" s="186" t="s">
        <v>144</v>
      </c>
      <c r="C28" s="186">
        <v>4</v>
      </c>
      <c r="D28" s="186">
        <v>4</v>
      </c>
      <c r="E28" s="186" t="s">
        <v>233</v>
      </c>
      <c r="F28" s="186" t="s">
        <v>230</v>
      </c>
      <c r="G28" s="186">
        <v>56</v>
      </c>
      <c r="H28" s="186" t="s">
        <v>234</v>
      </c>
      <c r="I28" s="186" t="s">
        <v>136</v>
      </c>
      <c r="J28" s="186" t="s">
        <v>132</v>
      </c>
      <c r="K28" s="186" t="s">
        <v>132</v>
      </c>
      <c r="L28" s="186" t="s">
        <v>132</v>
      </c>
      <c r="M28" s="186">
        <v>35</v>
      </c>
      <c r="N28" s="186">
        <v>81</v>
      </c>
      <c r="O28" s="185">
        <v>6.92</v>
      </c>
      <c r="P28" s="185">
        <v>1.73</v>
      </c>
    </row>
    <row r="29" spans="1:16">
      <c r="A29" s="185">
        <v>97</v>
      </c>
      <c r="B29" s="186" t="s">
        <v>150</v>
      </c>
      <c r="C29" s="186">
        <v>4</v>
      </c>
      <c r="D29" s="186">
        <v>4</v>
      </c>
      <c r="E29" s="186" t="s">
        <v>233</v>
      </c>
      <c r="F29" s="186" t="s">
        <v>230</v>
      </c>
      <c r="G29" s="186" t="s">
        <v>132</v>
      </c>
      <c r="H29" s="186" t="s">
        <v>235</v>
      </c>
      <c r="I29" s="186" t="s">
        <v>136</v>
      </c>
      <c r="J29" s="186" t="s">
        <v>132</v>
      </c>
      <c r="K29" s="186" t="s">
        <v>132</v>
      </c>
      <c r="L29" s="186" t="s">
        <v>132</v>
      </c>
      <c r="M29" s="186">
        <v>29</v>
      </c>
      <c r="N29" s="186">
        <v>93.3</v>
      </c>
      <c r="O29" s="186">
        <v>2.9</v>
      </c>
      <c r="P29" s="186">
        <v>9.33</v>
      </c>
    </row>
    <row r="30" spans="1:16">
      <c r="A30" s="185">
        <v>39</v>
      </c>
      <c r="B30" s="186" t="s">
        <v>142</v>
      </c>
      <c r="C30" s="186">
        <v>5</v>
      </c>
      <c r="D30" s="186">
        <v>5</v>
      </c>
      <c r="E30" s="186" t="s">
        <v>233</v>
      </c>
      <c r="F30" s="186" t="s">
        <v>228</v>
      </c>
      <c r="G30" s="186">
        <v>28</v>
      </c>
      <c r="H30" s="186" t="s">
        <v>234</v>
      </c>
      <c r="I30" s="186" t="s">
        <v>136</v>
      </c>
      <c r="J30" s="186" t="s">
        <v>132</v>
      </c>
      <c r="K30" s="186" t="s">
        <v>132</v>
      </c>
      <c r="L30" s="186" t="s">
        <v>284</v>
      </c>
      <c r="M30" s="187">
        <v>0</v>
      </c>
      <c r="N30" s="187">
        <v>5</v>
      </c>
      <c r="O30" s="187">
        <v>0</v>
      </c>
      <c r="P30" s="187">
        <v>3</v>
      </c>
    </row>
    <row r="31" spans="1:16">
      <c r="A31" s="185">
        <v>40</v>
      </c>
      <c r="B31" s="186" t="s">
        <v>142</v>
      </c>
      <c r="C31" s="186">
        <v>5</v>
      </c>
      <c r="D31" s="186">
        <v>5</v>
      </c>
      <c r="E31" s="186" t="s">
        <v>233</v>
      </c>
      <c r="F31" s="186" t="s">
        <v>228</v>
      </c>
      <c r="G31" s="186">
        <v>70</v>
      </c>
      <c r="H31" s="186" t="s">
        <v>235</v>
      </c>
      <c r="I31" s="186" t="s">
        <v>136</v>
      </c>
      <c r="J31" s="186" t="s">
        <v>132</v>
      </c>
      <c r="K31" s="186" t="s">
        <v>132</v>
      </c>
      <c r="L31" s="186" t="s">
        <v>284</v>
      </c>
      <c r="M31" s="187">
        <v>0</v>
      </c>
      <c r="N31" s="187">
        <v>23</v>
      </c>
      <c r="O31" s="187">
        <v>0</v>
      </c>
      <c r="P31" s="187">
        <v>10</v>
      </c>
    </row>
    <row r="32" spans="1:16">
      <c r="A32" s="185">
        <v>41</v>
      </c>
      <c r="B32" s="186" t="s">
        <v>142</v>
      </c>
      <c r="C32" s="186">
        <v>5</v>
      </c>
      <c r="D32" s="186">
        <v>5</v>
      </c>
      <c r="E32" s="186" t="s">
        <v>233</v>
      </c>
      <c r="F32" s="186" t="s">
        <v>228</v>
      </c>
      <c r="G32" s="186">
        <v>112</v>
      </c>
      <c r="H32" s="186" t="s">
        <v>235</v>
      </c>
      <c r="I32" s="186" t="s">
        <v>136</v>
      </c>
      <c r="J32" s="186" t="s">
        <v>132</v>
      </c>
      <c r="K32" s="186" t="s">
        <v>132</v>
      </c>
      <c r="L32" s="186" t="s">
        <v>284</v>
      </c>
      <c r="M32" s="187">
        <v>0</v>
      </c>
      <c r="N32" s="187">
        <v>44</v>
      </c>
      <c r="O32" s="187">
        <v>0</v>
      </c>
      <c r="P32" s="187">
        <v>5</v>
      </c>
    </row>
    <row r="33" spans="1:16">
      <c r="A33" s="185">
        <v>42</v>
      </c>
      <c r="B33" s="186" t="s">
        <v>142</v>
      </c>
      <c r="C33" s="186">
        <v>5</v>
      </c>
      <c r="D33" s="186">
        <v>5</v>
      </c>
      <c r="E33" s="186" t="s">
        <v>233</v>
      </c>
      <c r="F33" s="186" t="s">
        <v>228</v>
      </c>
      <c r="G33" s="186">
        <v>28</v>
      </c>
      <c r="H33" s="186" t="s">
        <v>234</v>
      </c>
      <c r="I33" s="186" t="s">
        <v>136</v>
      </c>
      <c r="J33" s="186" t="s">
        <v>132</v>
      </c>
      <c r="K33" s="186" t="s">
        <v>132</v>
      </c>
      <c r="L33" s="186" t="s">
        <v>284</v>
      </c>
      <c r="M33" s="187">
        <v>0</v>
      </c>
      <c r="N33" s="187">
        <v>1</v>
      </c>
      <c r="O33" s="187">
        <v>0</v>
      </c>
      <c r="P33" s="187">
        <v>2</v>
      </c>
    </row>
    <row r="34" spans="1:16">
      <c r="A34" s="185">
        <v>43</v>
      </c>
      <c r="B34" s="186" t="s">
        <v>142</v>
      </c>
      <c r="C34" s="186">
        <v>5</v>
      </c>
      <c r="D34" s="186">
        <v>5</v>
      </c>
      <c r="E34" s="186" t="s">
        <v>233</v>
      </c>
      <c r="F34" s="186" t="s">
        <v>228</v>
      </c>
      <c r="G34" s="186">
        <v>70</v>
      </c>
      <c r="H34" s="186" t="s">
        <v>235</v>
      </c>
      <c r="I34" s="186" t="s">
        <v>136</v>
      </c>
      <c r="J34" s="186" t="s">
        <v>132</v>
      </c>
      <c r="K34" s="186" t="s">
        <v>132</v>
      </c>
      <c r="L34" s="186" t="s">
        <v>284</v>
      </c>
      <c r="M34" s="187">
        <v>0</v>
      </c>
      <c r="N34" s="187">
        <v>5</v>
      </c>
      <c r="O34" s="187">
        <v>1</v>
      </c>
      <c r="P34" s="187">
        <v>5</v>
      </c>
    </row>
    <row r="35" spans="1:16">
      <c r="A35" s="185">
        <v>44</v>
      </c>
      <c r="B35" s="186" t="s">
        <v>142</v>
      </c>
      <c r="C35" s="186">
        <v>5</v>
      </c>
      <c r="D35" s="186">
        <v>5</v>
      </c>
      <c r="E35" s="186" t="s">
        <v>233</v>
      </c>
      <c r="F35" s="186" t="s">
        <v>228</v>
      </c>
      <c r="G35" s="186">
        <v>112</v>
      </c>
      <c r="H35" s="186" t="s">
        <v>235</v>
      </c>
      <c r="I35" s="186" t="s">
        <v>136</v>
      </c>
      <c r="J35" s="186" t="s">
        <v>132</v>
      </c>
      <c r="K35" s="186" t="s">
        <v>132</v>
      </c>
      <c r="L35" s="186" t="s">
        <v>284</v>
      </c>
      <c r="M35" s="187">
        <v>0</v>
      </c>
      <c r="N35" s="187">
        <v>11</v>
      </c>
      <c r="O35" s="187">
        <v>0</v>
      </c>
      <c r="P35" s="187">
        <v>2</v>
      </c>
    </row>
    <row r="36" spans="1:16">
      <c r="A36" s="185">
        <v>51</v>
      </c>
      <c r="B36" s="186" t="s">
        <v>142</v>
      </c>
      <c r="C36" s="186">
        <v>3</v>
      </c>
      <c r="D36" s="186">
        <v>3</v>
      </c>
      <c r="E36" s="186" t="s">
        <v>233</v>
      </c>
      <c r="F36" s="186" t="s">
        <v>228</v>
      </c>
      <c r="G36" s="186">
        <v>28</v>
      </c>
      <c r="H36" s="186" t="s">
        <v>234</v>
      </c>
      <c r="I36" s="186" t="s">
        <v>136</v>
      </c>
      <c r="J36" s="186" t="s">
        <v>132</v>
      </c>
      <c r="K36" s="186" t="s">
        <v>132</v>
      </c>
      <c r="L36" s="186" t="s">
        <v>284</v>
      </c>
      <c r="M36" s="187">
        <v>1</v>
      </c>
      <c r="N36" s="187">
        <v>16</v>
      </c>
      <c r="O36" s="187">
        <v>1</v>
      </c>
      <c r="P36" s="187">
        <v>11</v>
      </c>
    </row>
    <row r="37" spans="1:16">
      <c r="A37" s="185">
        <v>52</v>
      </c>
      <c r="B37" s="186" t="s">
        <v>142</v>
      </c>
      <c r="C37" s="186">
        <v>3</v>
      </c>
      <c r="D37" s="186">
        <v>3</v>
      </c>
      <c r="E37" s="186" t="s">
        <v>233</v>
      </c>
      <c r="F37" s="186" t="s">
        <v>228</v>
      </c>
      <c r="G37" s="186">
        <v>70</v>
      </c>
      <c r="H37" s="186" t="s">
        <v>235</v>
      </c>
      <c r="I37" s="186" t="s">
        <v>136</v>
      </c>
      <c r="J37" s="186" t="s">
        <v>132</v>
      </c>
      <c r="K37" s="186" t="s">
        <v>132</v>
      </c>
      <c r="L37" s="186" t="s">
        <v>284</v>
      </c>
      <c r="M37" s="187">
        <v>2</v>
      </c>
      <c r="N37" s="187">
        <v>26</v>
      </c>
      <c r="O37" s="187">
        <v>3</v>
      </c>
      <c r="P37" s="187">
        <v>20</v>
      </c>
    </row>
    <row r="38" spans="1:16">
      <c r="A38" s="185">
        <v>57</v>
      </c>
      <c r="B38" s="186" t="s">
        <v>143</v>
      </c>
      <c r="C38" s="186">
        <v>6</v>
      </c>
      <c r="D38" s="186">
        <v>6</v>
      </c>
      <c r="E38" s="186" t="s">
        <v>233</v>
      </c>
      <c r="F38" s="186" t="s">
        <v>228</v>
      </c>
      <c r="G38" s="186">
        <v>56</v>
      </c>
      <c r="H38" s="186" t="s">
        <v>234</v>
      </c>
      <c r="I38" s="186" t="s">
        <v>136</v>
      </c>
      <c r="J38" s="186" t="s">
        <v>132</v>
      </c>
      <c r="K38" s="186" t="s">
        <v>132</v>
      </c>
      <c r="L38" s="186" t="s">
        <v>285</v>
      </c>
      <c r="M38" s="187">
        <v>9</v>
      </c>
      <c r="N38" s="187">
        <v>9</v>
      </c>
      <c r="O38" s="187">
        <v>7</v>
      </c>
      <c r="P38" s="187">
        <v>5</v>
      </c>
    </row>
    <row r="39" spans="1:16">
      <c r="A39" s="185">
        <v>59</v>
      </c>
      <c r="B39" s="186" t="s">
        <v>143</v>
      </c>
      <c r="C39" s="186">
        <v>6</v>
      </c>
      <c r="D39" s="186">
        <v>6</v>
      </c>
      <c r="E39" s="186" t="s">
        <v>233</v>
      </c>
      <c r="F39" s="186" t="s">
        <v>228</v>
      </c>
      <c r="G39" s="186">
        <v>56</v>
      </c>
      <c r="H39" s="186" t="s">
        <v>234</v>
      </c>
      <c r="I39" s="186" t="s">
        <v>136</v>
      </c>
      <c r="J39" s="186" t="s">
        <v>132</v>
      </c>
      <c r="K39" s="186" t="s">
        <v>132</v>
      </c>
      <c r="L39" s="186" t="s">
        <v>285</v>
      </c>
      <c r="M39" s="187">
        <v>7</v>
      </c>
      <c r="N39" s="187">
        <v>54</v>
      </c>
      <c r="O39" s="187">
        <v>5</v>
      </c>
      <c r="P39" s="187">
        <v>9</v>
      </c>
    </row>
    <row r="40" spans="1:16">
      <c r="A40" s="185">
        <v>63</v>
      </c>
      <c r="B40" s="186" t="s">
        <v>144</v>
      </c>
      <c r="C40" s="186">
        <v>3</v>
      </c>
      <c r="D40" s="186">
        <v>3</v>
      </c>
      <c r="E40" s="186" t="s">
        <v>233</v>
      </c>
      <c r="F40" s="186" t="s">
        <v>228</v>
      </c>
      <c r="G40" s="186">
        <v>56</v>
      </c>
      <c r="H40" s="186" t="s">
        <v>234</v>
      </c>
      <c r="I40" s="186" t="s">
        <v>136</v>
      </c>
      <c r="J40" s="186" t="s">
        <v>132</v>
      </c>
      <c r="K40" s="186" t="s">
        <v>132</v>
      </c>
      <c r="L40" s="186" t="s">
        <v>132</v>
      </c>
      <c r="M40" s="186">
        <v>0</v>
      </c>
      <c r="N40" s="186">
        <v>56</v>
      </c>
      <c r="O40" s="185">
        <v>0</v>
      </c>
      <c r="P40" s="185">
        <v>3.46</v>
      </c>
    </row>
    <row r="41" spans="1:16">
      <c r="A41" s="185">
        <v>66</v>
      </c>
      <c r="B41" s="186" t="s">
        <v>144</v>
      </c>
      <c r="C41" s="186">
        <v>4</v>
      </c>
      <c r="D41" s="186">
        <v>4</v>
      </c>
      <c r="E41" s="186" t="s">
        <v>233</v>
      </c>
      <c r="F41" s="186" t="s">
        <v>228</v>
      </c>
      <c r="G41" s="186">
        <v>56</v>
      </c>
      <c r="H41" s="186" t="s">
        <v>234</v>
      </c>
      <c r="I41" s="186" t="s">
        <v>136</v>
      </c>
      <c r="J41" s="186" t="s">
        <v>132</v>
      </c>
      <c r="K41" s="186" t="s">
        <v>132</v>
      </c>
      <c r="L41" s="186" t="s">
        <v>132</v>
      </c>
      <c r="M41" s="186">
        <v>0</v>
      </c>
      <c r="N41" s="186">
        <v>55</v>
      </c>
      <c r="O41" s="185">
        <v>0</v>
      </c>
      <c r="P41" s="185">
        <v>8.65</v>
      </c>
    </row>
    <row r="42" spans="1:16">
      <c r="A42" s="185">
        <v>96</v>
      </c>
      <c r="B42" s="186" t="s">
        <v>150</v>
      </c>
      <c r="C42" s="186">
        <v>4</v>
      </c>
      <c r="D42" s="186">
        <v>4</v>
      </c>
      <c r="E42" s="186" t="s">
        <v>233</v>
      </c>
      <c r="F42" s="186" t="s">
        <v>228</v>
      </c>
      <c r="G42" s="186" t="s">
        <v>132</v>
      </c>
      <c r="H42" s="186" t="s">
        <v>235</v>
      </c>
      <c r="I42" s="186" t="s">
        <v>136</v>
      </c>
      <c r="J42" s="186" t="s">
        <v>132</v>
      </c>
      <c r="K42" s="186" t="s">
        <v>132</v>
      </c>
      <c r="L42" s="186" t="s">
        <v>132</v>
      </c>
      <c r="M42" s="186">
        <v>6.7</v>
      </c>
      <c r="N42" s="186">
        <v>65.7</v>
      </c>
      <c r="O42" s="186">
        <v>0.67</v>
      </c>
      <c r="P42" s="186">
        <v>6.57</v>
      </c>
    </row>
    <row r="43" spans="1:16">
      <c r="A43" s="185"/>
      <c r="B43" s="186"/>
      <c r="C43" s="186"/>
      <c r="D43" s="186"/>
      <c r="E43" s="186"/>
      <c r="F43" s="186"/>
      <c r="G43" s="186"/>
      <c r="H43" s="186"/>
      <c r="I43" s="186"/>
      <c r="J43" s="185"/>
      <c r="K43" s="185"/>
      <c r="L43" s="185"/>
      <c r="M43" s="186"/>
      <c r="N43" s="186"/>
      <c r="O43" s="186"/>
      <c r="P43" s="186"/>
    </row>
    <row r="44" spans="1:16">
      <c r="A44" s="185"/>
      <c r="B44" s="186"/>
      <c r="C44" s="186"/>
      <c r="D44" s="186"/>
      <c r="E44" s="186"/>
      <c r="F44" s="186"/>
      <c r="G44" s="186"/>
      <c r="H44" s="186"/>
      <c r="I44" s="186"/>
      <c r="J44" s="185"/>
      <c r="K44" s="185"/>
      <c r="L44" s="185"/>
      <c r="M44" s="186"/>
      <c r="N44" s="186"/>
      <c r="O44" s="186"/>
      <c r="P44" s="186"/>
    </row>
    <row r="45" spans="1:16">
      <c r="A45" s="185"/>
      <c r="B45" s="186"/>
      <c r="C45" s="186"/>
      <c r="D45" s="186"/>
      <c r="E45" s="186"/>
      <c r="F45" s="186"/>
      <c r="G45" s="186"/>
      <c r="H45" s="186"/>
      <c r="I45" s="186"/>
      <c r="J45" s="185"/>
      <c r="K45" s="185"/>
      <c r="L45" s="185"/>
      <c r="M45" s="186"/>
      <c r="N45" s="186"/>
      <c r="O45" s="186"/>
      <c r="P45" s="186"/>
    </row>
    <row r="46" spans="1:16">
      <c r="A46" s="185"/>
      <c r="B46" s="186"/>
      <c r="C46" s="186"/>
      <c r="D46" s="186"/>
      <c r="E46" s="186"/>
      <c r="F46" s="186"/>
      <c r="G46" s="186"/>
      <c r="H46" s="186"/>
      <c r="I46" s="186"/>
      <c r="J46" s="185"/>
      <c r="K46" s="185"/>
      <c r="L46" s="185"/>
      <c r="M46" s="186"/>
      <c r="N46" s="186"/>
      <c r="O46" s="186"/>
      <c r="P46" s="186"/>
    </row>
    <row r="47" spans="1:16">
      <c r="A47" s="185"/>
      <c r="B47" s="186"/>
      <c r="C47" s="186"/>
      <c r="D47" s="186"/>
      <c r="E47" s="186"/>
      <c r="F47" s="186"/>
      <c r="G47" s="186"/>
      <c r="H47" s="186"/>
      <c r="I47" s="186"/>
      <c r="J47" s="185"/>
      <c r="K47" s="185"/>
      <c r="L47" s="185"/>
      <c r="M47" s="186"/>
      <c r="N47" s="186"/>
      <c r="O47" s="186"/>
      <c r="P47" s="186"/>
    </row>
    <row r="48" spans="1:16">
      <c r="A48" s="185"/>
      <c r="B48" s="186"/>
      <c r="C48" s="186"/>
      <c r="D48" s="186"/>
      <c r="E48" s="186"/>
      <c r="F48" s="186"/>
      <c r="G48" s="186"/>
      <c r="H48" s="186"/>
      <c r="I48" s="186"/>
      <c r="J48" s="185"/>
      <c r="K48" s="185"/>
      <c r="L48" s="185"/>
      <c r="M48" s="186"/>
      <c r="N48" s="186"/>
      <c r="O48" s="186"/>
      <c r="P48" s="186"/>
    </row>
    <row r="49" spans="1:16">
      <c r="A49" s="185"/>
      <c r="B49" s="186"/>
      <c r="C49" s="186"/>
      <c r="D49" s="186"/>
      <c r="E49" s="186"/>
      <c r="F49" s="186"/>
      <c r="G49" s="186"/>
      <c r="H49" s="186"/>
      <c r="I49" s="186"/>
      <c r="J49" s="185"/>
      <c r="K49" s="185"/>
      <c r="L49" s="185"/>
      <c r="M49" s="186"/>
      <c r="N49" s="186"/>
      <c r="O49" s="186"/>
      <c r="P49" s="186"/>
    </row>
    <row r="50" spans="1:16">
      <c r="A50" s="185"/>
      <c r="B50" s="186"/>
      <c r="C50" s="186"/>
      <c r="D50" s="186"/>
      <c r="E50" s="186"/>
      <c r="F50" s="186"/>
      <c r="G50" s="186"/>
      <c r="H50" s="186"/>
      <c r="I50" s="186"/>
      <c r="J50" s="185"/>
      <c r="K50" s="185"/>
      <c r="L50" s="185"/>
      <c r="M50" s="186"/>
      <c r="N50" s="186"/>
      <c r="O50" s="186"/>
      <c r="P50" s="186"/>
    </row>
    <row r="51" spans="1:16">
      <c r="A51" s="185"/>
      <c r="B51" s="186"/>
      <c r="C51" s="186"/>
      <c r="D51" s="186"/>
      <c r="E51" s="186"/>
      <c r="F51" s="186"/>
      <c r="G51" s="186"/>
      <c r="H51" s="186"/>
      <c r="I51" s="186"/>
      <c r="J51" s="185"/>
      <c r="K51" s="185"/>
      <c r="L51" s="185"/>
      <c r="M51" s="186"/>
      <c r="N51" s="186"/>
      <c r="O51" s="186"/>
      <c r="P51" s="186"/>
    </row>
    <row r="52" spans="1:16">
      <c r="A52" s="185"/>
      <c r="B52" s="186"/>
      <c r="C52" s="186"/>
      <c r="D52" s="186"/>
      <c r="E52" s="186"/>
      <c r="F52" s="186"/>
      <c r="G52" s="186"/>
      <c r="H52" s="186"/>
      <c r="I52" s="186"/>
      <c r="J52" s="185"/>
      <c r="K52" s="185"/>
      <c r="L52" s="185"/>
      <c r="M52" s="186"/>
      <c r="N52" s="186"/>
      <c r="O52" s="186"/>
      <c r="P52" s="186"/>
    </row>
    <row r="53" spans="1:16">
      <c r="A53" s="185"/>
      <c r="B53" s="186"/>
      <c r="C53" s="186"/>
      <c r="D53" s="186"/>
      <c r="E53" s="186"/>
      <c r="F53" s="186"/>
      <c r="G53" s="186"/>
      <c r="H53" s="186"/>
      <c r="I53" s="186"/>
      <c r="J53" s="185"/>
      <c r="K53" s="185"/>
      <c r="L53" s="185"/>
      <c r="M53" s="186"/>
      <c r="N53" s="186"/>
      <c r="O53" s="186"/>
      <c r="P53" s="186"/>
    </row>
    <row r="54" spans="1:16">
      <c r="A54" s="185"/>
      <c r="B54" s="186"/>
      <c r="C54" s="186"/>
      <c r="D54" s="186"/>
      <c r="E54" s="186"/>
      <c r="F54" s="186"/>
      <c r="G54" s="186"/>
      <c r="H54" s="186"/>
      <c r="I54" s="186"/>
      <c r="J54" s="185"/>
      <c r="K54" s="185"/>
      <c r="L54" s="185"/>
      <c r="M54" s="186"/>
      <c r="N54" s="186"/>
      <c r="O54" s="186"/>
      <c r="P54" s="186"/>
    </row>
  </sheetData>
  <sortState ref="A2:P54">
    <sortCondition ref="F2:F54"/>
  </sortState>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112"/>
  <sheetViews>
    <sheetView workbookViewId="0">
      <pane ySplit="1" topLeftCell="A2" activePane="bottomLeft" state="frozen"/>
      <selection pane="bottomLeft" activeCell="O106" sqref="O106:P110"/>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10" width="11.5" style="152" customWidth="1"/>
    <col min="11" max="12" width="14.33203125" style="152" customWidth="1"/>
    <col min="13" max="13" width="12.33203125" style="150" bestFit="1" customWidth="1"/>
    <col min="14" max="14" width="11.33203125" style="150" bestFit="1" customWidth="1"/>
    <col min="15" max="15" width="9.5" style="150" bestFit="1" customWidth="1"/>
    <col min="16" max="16" width="8.5" style="150" bestFit="1" customWidth="1"/>
    <col min="17" max="17" width="13.1640625" style="150" bestFit="1" customWidth="1"/>
    <col min="18" max="18" width="12.1640625" style="150" bestFit="1" customWidth="1"/>
    <col min="19" max="19" width="10.5" style="150" bestFit="1" customWidth="1"/>
    <col min="20" max="20" width="9.5" style="150" bestFit="1" customWidth="1"/>
    <col min="21" max="21" width="13.1640625" style="150" bestFit="1" customWidth="1"/>
    <col min="22" max="22" width="12.1640625" style="150" bestFit="1" customWidth="1"/>
    <col min="23" max="23" width="10.33203125" style="150" bestFit="1" customWidth="1"/>
    <col min="24" max="24" width="9.33203125" style="150" bestFit="1" customWidth="1"/>
    <col min="25" max="25" width="11" style="150" bestFit="1" customWidth="1"/>
    <col min="26" max="26" width="10" style="150" bestFit="1" customWidth="1"/>
    <col min="27" max="27" width="12.83203125" style="150" bestFit="1" customWidth="1"/>
    <col min="28" max="28" width="11.83203125" style="150" bestFit="1" customWidth="1"/>
    <col min="29" max="29" width="9.83203125" style="150" bestFit="1" customWidth="1"/>
    <col min="30" max="30" width="8.83203125" style="150" bestFit="1" customWidth="1"/>
    <col min="31" max="31" width="11.6640625" style="150" bestFit="1" customWidth="1"/>
    <col min="32" max="32" width="10.6640625" style="150" bestFit="1" customWidth="1"/>
    <col min="33" max="33" width="12" style="150" bestFit="1" customWidth="1"/>
    <col min="34" max="34" width="11" style="150" bestFit="1" customWidth="1"/>
    <col min="35" max="35" width="13.83203125" style="150" bestFit="1" customWidth="1"/>
    <col min="36" max="36" width="12.83203125" style="150" bestFit="1" customWidth="1"/>
    <col min="37" max="37" width="10.83203125" style="150"/>
    <col min="38" max="38" width="9.83203125" style="150" bestFit="1" customWidth="1"/>
    <col min="39" max="39" width="12.6640625" style="150" bestFit="1" customWidth="1"/>
    <col min="40" max="40" width="11.6640625" style="150" bestFit="1" customWidth="1"/>
    <col min="41" max="41" width="11" style="152" bestFit="1" customWidth="1"/>
    <col min="42" max="42" width="10" style="152" bestFit="1" customWidth="1"/>
    <col min="43" max="43" width="12.83203125" style="152" bestFit="1" customWidth="1"/>
    <col min="44" max="44" width="11.83203125" style="152" bestFit="1" customWidth="1"/>
    <col min="45" max="45" width="9.83203125" style="152" bestFit="1" customWidth="1"/>
    <col min="46" max="46" width="8.83203125" style="152" bestFit="1" customWidth="1"/>
    <col min="47" max="47" width="11.6640625" style="152" bestFit="1" customWidth="1"/>
    <col min="48" max="48" width="10.6640625" style="152" bestFit="1" customWidth="1"/>
    <col min="49" max="49" width="12" style="152" bestFit="1" customWidth="1"/>
    <col min="50" max="50" width="11" style="152" bestFit="1" customWidth="1"/>
    <col min="51" max="51" width="13.1640625" style="152" bestFit="1" customWidth="1"/>
    <col min="52" max="52" width="12.83203125" style="152" bestFit="1" customWidth="1"/>
    <col min="53" max="53" width="10.83203125" style="152"/>
    <col min="54" max="54" width="9.83203125" style="152" bestFit="1" customWidth="1"/>
    <col min="55" max="55" width="12.6640625" style="152" bestFit="1" customWidth="1"/>
    <col min="56" max="56" width="11.6640625" style="152" bestFit="1" customWidth="1"/>
    <col min="57" max="57" width="12.1640625" style="152" bestFit="1" customWidth="1"/>
    <col min="58" max="58" width="11.1640625" style="152" bestFit="1" customWidth="1"/>
    <col min="59" max="59" width="13.1640625" style="152" bestFit="1" customWidth="1"/>
    <col min="60" max="60" width="13" style="152" bestFit="1" customWidth="1"/>
    <col min="61" max="61" width="11" style="152" bestFit="1" customWidth="1"/>
    <col min="62" max="62" width="10" style="152" bestFit="1" customWidth="1"/>
    <col min="63" max="63" width="12.83203125" style="152" bestFit="1" customWidth="1"/>
    <col min="64" max="64" width="11.83203125" style="152" bestFit="1" customWidth="1"/>
    <col min="65" max="65" width="12.83203125" style="152" bestFit="1" customWidth="1"/>
    <col min="66" max="66" width="11.6640625" style="152" bestFit="1" customWidth="1"/>
    <col min="67" max="67" width="14.5" style="152" bestFit="1" customWidth="1"/>
    <col min="68" max="68" width="13.5" style="152" bestFit="1" customWidth="1"/>
    <col min="69" max="69" width="11.6640625" style="152" bestFit="1" customWidth="1"/>
    <col min="70" max="70" width="10.6640625" style="152" bestFit="1" customWidth="1"/>
    <col min="71" max="71" width="13.5" style="152" bestFit="1" customWidth="1"/>
    <col min="72" max="72" width="12.33203125" style="152" bestFit="1" customWidth="1"/>
    <col min="73" max="73" width="12.6640625" style="152" bestFit="1" customWidth="1"/>
    <col min="74" max="74" width="11.6640625" style="152" bestFit="1" customWidth="1"/>
    <col min="75" max="75" width="14.5" style="152" bestFit="1" customWidth="1"/>
    <col min="76" max="76" width="13.5" style="152" bestFit="1" customWidth="1"/>
    <col min="77" max="77" width="11.5" style="152" bestFit="1" customWidth="1"/>
    <col min="78" max="78" width="10.5" style="152" bestFit="1" customWidth="1"/>
    <col min="79" max="79" width="13.33203125" style="152" bestFit="1" customWidth="1"/>
    <col min="80" max="80" width="12.33203125" style="152" bestFit="1" customWidth="1"/>
    <col min="81" max="16384" width="10.83203125" style="152"/>
  </cols>
  <sheetData>
    <row r="1" spans="1:112">
      <c r="A1" s="150" t="s">
        <v>112</v>
      </c>
      <c r="B1" s="150" t="s">
        <v>113</v>
      </c>
      <c r="C1" s="150" t="s">
        <v>114</v>
      </c>
      <c r="D1" s="150" t="s">
        <v>225</v>
      </c>
      <c r="E1" s="150" t="s">
        <v>232</v>
      </c>
      <c r="F1" s="150" t="s">
        <v>226</v>
      </c>
      <c r="G1" s="150" t="s">
        <v>236</v>
      </c>
      <c r="H1" s="150" t="s">
        <v>170</v>
      </c>
      <c r="I1" s="150" t="s">
        <v>369</v>
      </c>
      <c r="J1" s="150" t="s">
        <v>237</v>
      </c>
      <c r="K1" s="150" t="s">
        <v>238</v>
      </c>
      <c r="L1" s="150" t="s">
        <v>286</v>
      </c>
      <c r="M1" s="150" t="s">
        <v>115</v>
      </c>
      <c r="N1" s="150" t="s">
        <v>116</v>
      </c>
      <c r="O1" s="150" t="s">
        <v>117</v>
      </c>
      <c r="P1" s="150" t="s">
        <v>118</v>
      </c>
      <c r="Q1" s="150" t="s">
        <v>122</v>
      </c>
      <c r="R1" s="150" t="s">
        <v>123</v>
      </c>
      <c r="S1" s="150" t="s">
        <v>124</v>
      </c>
      <c r="T1" s="150" t="s">
        <v>125</v>
      </c>
      <c r="U1" s="150" t="s">
        <v>126</v>
      </c>
      <c r="V1" s="150" t="s">
        <v>127</v>
      </c>
      <c r="W1" s="150" t="s">
        <v>128</v>
      </c>
      <c r="X1" s="150" t="s">
        <v>129</v>
      </c>
      <c r="Y1" s="150" t="s">
        <v>154</v>
      </c>
      <c r="Z1" s="150" t="s">
        <v>155</v>
      </c>
      <c r="AA1" s="150" t="s">
        <v>156</v>
      </c>
      <c r="AB1" s="150" t="s">
        <v>157</v>
      </c>
      <c r="AC1" s="150" t="s">
        <v>158</v>
      </c>
      <c r="AD1" s="150" t="s">
        <v>159</v>
      </c>
      <c r="AE1" s="150" t="s">
        <v>160</v>
      </c>
      <c r="AF1" s="150" t="s">
        <v>161</v>
      </c>
      <c r="AG1" s="150" t="s">
        <v>162</v>
      </c>
      <c r="AH1" s="150" t="s">
        <v>163</v>
      </c>
      <c r="AI1" s="150" t="s">
        <v>164</v>
      </c>
      <c r="AJ1" s="150" t="s">
        <v>165</v>
      </c>
      <c r="AK1" s="150" t="s">
        <v>166</v>
      </c>
      <c r="AL1" s="150" t="s">
        <v>167</v>
      </c>
      <c r="AM1" s="150" t="s">
        <v>168</v>
      </c>
      <c r="AN1" s="150" t="s">
        <v>169</v>
      </c>
      <c r="AO1" s="150" t="s">
        <v>245</v>
      </c>
      <c r="AP1" s="150" t="s">
        <v>242</v>
      </c>
      <c r="AQ1" s="150" t="s">
        <v>251</v>
      </c>
      <c r="AR1" s="150" t="s">
        <v>243</v>
      </c>
      <c r="AS1" s="150" t="s">
        <v>244</v>
      </c>
      <c r="AT1" s="150" t="s">
        <v>246</v>
      </c>
      <c r="AU1" s="150" t="s">
        <v>247</v>
      </c>
      <c r="AV1" s="150" t="s">
        <v>248</v>
      </c>
      <c r="AW1" s="150" t="s">
        <v>249</v>
      </c>
      <c r="AX1" s="150" t="s">
        <v>250</v>
      </c>
      <c r="AY1" s="150" t="s">
        <v>267</v>
      </c>
      <c r="AZ1" s="150" t="s">
        <v>252</v>
      </c>
      <c r="BA1" s="150" t="s">
        <v>253</v>
      </c>
      <c r="BB1" s="150" t="s">
        <v>254</v>
      </c>
      <c r="BC1" s="150" t="s">
        <v>255</v>
      </c>
      <c r="BD1" s="150" t="s">
        <v>256</v>
      </c>
      <c r="BE1" s="150" t="s">
        <v>257</v>
      </c>
      <c r="BF1" s="150" t="s">
        <v>258</v>
      </c>
      <c r="BG1" s="150" t="s">
        <v>268</v>
      </c>
      <c r="BH1" s="150" t="s">
        <v>259</v>
      </c>
      <c r="BI1" s="150" t="s">
        <v>260</v>
      </c>
      <c r="BJ1" s="150" t="s">
        <v>261</v>
      </c>
      <c r="BK1" s="150" t="s">
        <v>262</v>
      </c>
      <c r="BL1" s="150" t="s">
        <v>263</v>
      </c>
      <c r="BM1" s="150" t="s">
        <v>264</v>
      </c>
      <c r="BN1" s="150" t="s">
        <v>265</v>
      </c>
      <c r="BO1" s="150" t="s">
        <v>266</v>
      </c>
      <c r="BP1" s="150" t="s">
        <v>269</v>
      </c>
      <c r="BQ1" s="150" t="s">
        <v>270</v>
      </c>
      <c r="BR1" s="150" t="s">
        <v>271</v>
      </c>
      <c r="BS1" s="150" t="s">
        <v>272</v>
      </c>
      <c r="BT1" s="150" t="s">
        <v>273</v>
      </c>
      <c r="BU1" s="150" t="s">
        <v>274</v>
      </c>
      <c r="BV1" s="150" t="s">
        <v>275</v>
      </c>
      <c r="BW1" s="150" t="s">
        <v>276</v>
      </c>
      <c r="BX1" s="150" t="s">
        <v>277</v>
      </c>
      <c r="BY1" s="150" t="s">
        <v>278</v>
      </c>
      <c r="BZ1" s="150" t="s">
        <v>279</v>
      </c>
      <c r="CA1" s="150" t="s">
        <v>280</v>
      </c>
      <c r="CB1" s="150" t="s">
        <v>281</v>
      </c>
      <c r="CC1" s="150" t="s">
        <v>287</v>
      </c>
      <c r="CD1" s="150" t="s">
        <v>288</v>
      </c>
      <c r="CE1" s="150" t="s">
        <v>289</v>
      </c>
      <c r="CF1" s="150" t="s">
        <v>290</v>
      </c>
      <c r="CG1" s="150" t="s">
        <v>291</v>
      </c>
      <c r="CH1" s="150" t="s">
        <v>292</v>
      </c>
      <c r="CI1" s="150" t="s">
        <v>293</v>
      </c>
      <c r="CJ1" s="150" t="s">
        <v>294</v>
      </c>
      <c r="CK1" s="150" t="s">
        <v>295</v>
      </c>
      <c r="CL1" s="150" t="s">
        <v>296</v>
      </c>
      <c r="CM1" s="150" t="s">
        <v>297</v>
      </c>
      <c r="CN1" s="150" t="s">
        <v>298</v>
      </c>
      <c r="CO1" s="150" t="s">
        <v>299</v>
      </c>
      <c r="CP1" s="150" t="s">
        <v>300</v>
      </c>
      <c r="CQ1" s="150" t="s">
        <v>301</v>
      </c>
      <c r="CR1" s="150" t="s">
        <v>302</v>
      </c>
      <c r="CS1" s="150" t="s">
        <v>303</v>
      </c>
      <c r="CT1" s="150" t="s">
        <v>304</v>
      </c>
      <c r="CU1" s="150" t="s">
        <v>305</v>
      </c>
      <c r="CV1" s="150" t="s">
        <v>306</v>
      </c>
      <c r="CW1" s="150" t="s">
        <v>307</v>
      </c>
      <c r="CX1" s="150" t="s">
        <v>308</v>
      </c>
      <c r="CY1" s="150" t="s">
        <v>309</v>
      </c>
      <c r="CZ1" s="150" t="s">
        <v>310</v>
      </c>
      <c r="DA1" s="150" t="s">
        <v>311</v>
      </c>
      <c r="DB1" s="150" t="s">
        <v>312</v>
      </c>
      <c r="DC1" s="150" t="s">
        <v>313</v>
      </c>
      <c r="DD1" s="150" t="s">
        <v>314</v>
      </c>
      <c r="DE1" s="150" t="s">
        <v>315</v>
      </c>
      <c r="DF1" s="150" t="s">
        <v>316</v>
      </c>
      <c r="DG1" s="150" t="s">
        <v>317</v>
      </c>
      <c r="DH1" s="150" t="s">
        <v>318</v>
      </c>
    </row>
    <row r="2" spans="1:112">
      <c r="A2" s="150" t="s">
        <v>119</v>
      </c>
      <c r="B2" s="150">
        <v>3</v>
      </c>
      <c r="C2" s="150">
        <v>3</v>
      </c>
      <c r="D2" s="150" t="s">
        <v>233</v>
      </c>
      <c r="E2" s="150" t="s">
        <v>229</v>
      </c>
      <c r="F2" s="150">
        <v>42</v>
      </c>
      <c r="G2" s="150" t="s">
        <v>234</v>
      </c>
      <c r="H2" s="150" t="s">
        <v>136</v>
      </c>
      <c r="I2" s="150" t="s">
        <v>132</v>
      </c>
      <c r="J2" s="150" t="s">
        <v>132</v>
      </c>
      <c r="K2" s="150" t="s">
        <v>132</v>
      </c>
      <c r="L2" s="150" t="s">
        <v>132</v>
      </c>
      <c r="M2" s="150">
        <v>0</v>
      </c>
      <c r="N2" s="150">
        <v>42.1</v>
      </c>
      <c r="O2" s="150">
        <v>0</v>
      </c>
      <c r="P2" s="150">
        <v>16</v>
      </c>
      <c r="Q2" s="150" t="s">
        <v>132</v>
      </c>
      <c r="R2" s="150" t="s">
        <v>132</v>
      </c>
      <c r="S2" s="150" t="s">
        <v>132</v>
      </c>
      <c r="T2" s="150" t="s">
        <v>132</v>
      </c>
      <c r="U2" s="150" t="s">
        <v>132</v>
      </c>
      <c r="V2" s="150" t="s">
        <v>132</v>
      </c>
      <c r="W2" s="150" t="s">
        <v>132</v>
      </c>
      <c r="X2" s="150" t="s">
        <v>132</v>
      </c>
      <c r="Y2" s="150" t="s">
        <v>132</v>
      </c>
      <c r="Z2" s="150" t="s">
        <v>132</v>
      </c>
      <c r="AA2" s="150" t="s">
        <v>132</v>
      </c>
      <c r="AB2" s="150" t="s">
        <v>132</v>
      </c>
      <c r="AC2" s="150" t="s">
        <v>132</v>
      </c>
      <c r="AD2" s="150" t="s">
        <v>132</v>
      </c>
      <c r="AE2" s="150" t="s">
        <v>132</v>
      </c>
      <c r="AF2" s="150" t="s">
        <v>132</v>
      </c>
      <c r="AG2" s="150" t="s">
        <v>132</v>
      </c>
      <c r="AH2" s="150" t="s">
        <v>132</v>
      </c>
      <c r="AI2" s="150" t="s">
        <v>132</v>
      </c>
      <c r="AJ2" s="150" t="s">
        <v>132</v>
      </c>
      <c r="AK2" s="150" t="s">
        <v>132</v>
      </c>
      <c r="AL2" s="150" t="s">
        <v>132</v>
      </c>
      <c r="AM2" s="150" t="s">
        <v>132</v>
      </c>
      <c r="AN2" s="150" t="s">
        <v>132</v>
      </c>
      <c r="AO2" s="150" t="s">
        <v>132</v>
      </c>
      <c r="AP2" s="150" t="s">
        <v>132</v>
      </c>
      <c r="AQ2" s="150" t="s">
        <v>132</v>
      </c>
      <c r="AR2" s="150" t="s">
        <v>132</v>
      </c>
      <c r="AS2" s="150" t="s">
        <v>132</v>
      </c>
      <c r="AT2" s="150" t="s">
        <v>132</v>
      </c>
      <c r="AU2" s="150" t="s">
        <v>132</v>
      </c>
      <c r="AV2" s="150" t="s">
        <v>132</v>
      </c>
      <c r="AW2" s="150" t="s">
        <v>132</v>
      </c>
      <c r="AX2" s="150" t="s">
        <v>132</v>
      </c>
      <c r="AY2" s="150" t="s">
        <v>132</v>
      </c>
      <c r="AZ2" s="150" t="s">
        <v>132</v>
      </c>
      <c r="BA2" s="150" t="s">
        <v>132</v>
      </c>
      <c r="BB2" s="150" t="s">
        <v>132</v>
      </c>
      <c r="BC2" s="150" t="s">
        <v>132</v>
      </c>
      <c r="BD2" s="150" t="s">
        <v>132</v>
      </c>
      <c r="BE2" s="150" t="s">
        <v>132</v>
      </c>
      <c r="BF2" s="150" t="s">
        <v>132</v>
      </c>
      <c r="BG2" s="150" t="s">
        <v>132</v>
      </c>
      <c r="BH2" s="150" t="s">
        <v>132</v>
      </c>
      <c r="BI2" s="150" t="s">
        <v>132</v>
      </c>
      <c r="BJ2" s="150" t="s">
        <v>132</v>
      </c>
      <c r="BK2" s="150" t="s">
        <v>132</v>
      </c>
      <c r="BL2" s="150" t="s">
        <v>132</v>
      </c>
      <c r="BM2" s="150" t="s">
        <v>132</v>
      </c>
      <c r="BN2" s="150" t="s">
        <v>132</v>
      </c>
      <c r="BO2" s="150" t="s">
        <v>132</v>
      </c>
      <c r="BP2" s="150" t="s">
        <v>132</v>
      </c>
      <c r="BQ2" s="150" t="s">
        <v>132</v>
      </c>
      <c r="BR2" s="150" t="s">
        <v>132</v>
      </c>
      <c r="BS2" s="150" t="s">
        <v>132</v>
      </c>
      <c r="BT2" s="150" t="s">
        <v>132</v>
      </c>
      <c r="BU2" s="150" t="s">
        <v>132</v>
      </c>
      <c r="BV2" s="150" t="s">
        <v>132</v>
      </c>
      <c r="BW2" s="150" t="s">
        <v>132</v>
      </c>
      <c r="BX2" s="150" t="s">
        <v>132</v>
      </c>
      <c r="BY2" s="150" t="s">
        <v>132</v>
      </c>
      <c r="BZ2" s="150" t="s">
        <v>132</v>
      </c>
      <c r="CA2" s="150" t="s">
        <v>132</v>
      </c>
      <c r="CB2" s="150" t="s">
        <v>132</v>
      </c>
      <c r="CC2" s="190" t="s">
        <v>132</v>
      </c>
      <c r="CD2" s="190" t="s">
        <v>132</v>
      </c>
      <c r="CE2" s="190" t="s">
        <v>132</v>
      </c>
      <c r="CF2" s="190" t="s">
        <v>132</v>
      </c>
      <c r="CG2" s="190" t="s">
        <v>132</v>
      </c>
      <c r="CH2" s="190" t="s">
        <v>132</v>
      </c>
      <c r="CI2" s="190" t="s">
        <v>132</v>
      </c>
      <c r="CJ2" s="190" t="s">
        <v>132</v>
      </c>
      <c r="CK2" s="190" t="s">
        <v>132</v>
      </c>
      <c r="CL2" s="190" t="s">
        <v>132</v>
      </c>
      <c r="CM2" s="190" t="s">
        <v>132</v>
      </c>
      <c r="CN2" s="190" t="s">
        <v>132</v>
      </c>
      <c r="CO2" s="190" t="s">
        <v>132</v>
      </c>
      <c r="CP2" s="190" t="s">
        <v>132</v>
      </c>
      <c r="CQ2" s="190" t="s">
        <v>132</v>
      </c>
      <c r="CR2" s="190" t="s">
        <v>132</v>
      </c>
      <c r="CS2" s="190" t="s">
        <v>132</v>
      </c>
      <c r="CT2" s="190" t="s">
        <v>132</v>
      </c>
      <c r="CU2" s="190" t="s">
        <v>132</v>
      </c>
      <c r="CV2" s="190" t="s">
        <v>132</v>
      </c>
      <c r="CW2" s="190" t="s">
        <v>132</v>
      </c>
      <c r="CX2" s="190" t="s">
        <v>132</v>
      </c>
      <c r="CY2" s="190" t="s">
        <v>132</v>
      </c>
      <c r="CZ2" s="190" t="s">
        <v>132</v>
      </c>
      <c r="DA2" s="190" t="s">
        <v>132</v>
      </c>
      <c r="DB2" s="190" t="s">
        <v>132</v>
      </c>
      <c r="DC2" s="190" t="s">
        <v>132</v>
      </c>
      <c r="DD2" s="190" t="s">
        <v>132</v>
      </c>
      <c r="DE2" s="190" t="s">
        <v>132</v>
      </c>
      <c r="DF2" s="190" t="s">
        <v>132</v>
      </c>
      <c r="DG2" s="190" t="s">
        <v>132</v>
      </c>
      <c r="DH2" s="190" t="s">
        <v>132</v>
      </c>
    </row>
    <row r="3" spans="1:112">
      <c r="A3" s="150" t="s">
        <v>119</v>
      </c>
      <c r="B3" s="150">
        <v>3</v>
      </c>
      <c r="C3" s="150">
        <v>3</v>
      </c>
      <c r="D3" s="150" t="s">
        <v>233</v>
      </c>
      <c r="E3" s="150" t="s">
        <v>229</v>
      </c>
      <c r="F3" s="150">
        <v>42</v>
      </c>
      <c r="G3" s="150" t="s">
        <v>234</v>
      </c>
      <c r="H3" s="150" t="s">
        <v>136</v>
      </c>
      <c r="I3" s="150" t="s">
        <v>132</v>
      </c>
      <c r="J3" s="150" t="s">
        <v>132</v>
      </c>
      <c r="K3" s="150" t="s">
        <v>132</v>
      </c>
      <c r="L3" s="150" t="s">
        <v>132</v>
      </c>
      <c r="M3" s="150">
        <v>9.3000000000000007</v>
      </c>
      <c r="N3" s="150">
        <v>29.5</v>
      </c>
      <c r="O3" s="150">
        <v>2</v>
      </c>
      <c r="P3" s="150">
        <v>18</v>
      </c>
      <c r="Q3" s="150" t="s">
        <v>132</v>
      </c>
      <c r="R3" s="150" t="s">
        <v>132</v>
      </c>
      <c r="S3" s="150" t="s">
        <v>132</v>
      </c>
      <c r="T3" s="150" t="s">
        <v>132</v>
      </c>
      <c r="U3" s="150" t="s">
        <v>132</v>
      </c>
      <c r="V3" s="150" t="s">
        <v>132</v>
      </c>
      <c r="W3" s="150" t="s">
        <v>132</v>
      </c>
      <c r="X3" s="150" t="s">
        <v>132</v>
      </c>
      <c r="Y3" s="150" t="s">
        <v>132</v>
      </c>
      <c r="Z3" s="150" t="s">
        <v>132</v>
      </c>
      <c r="AA3" s="150" t="s">
        <v>132</v>
      </c>
      <c r="AB3" s="150" t="s">
        <v>132</v>
      </c>
      <c r="AC3" s="150" t="s">
        <v>132</v>
      </c>
      <c r="AD3" s="150" t="s">
        <v>132</v>
      </c>
      <c r="AE3" s="150" t="s">
        <v>132</v>
      </c>
      <c r="AF3" s="150" t="s">
        <v>132</v>
      </c>
      <c r="AG3" s="150" t="s">
        <v>132</v>
      </c>
      <c r="AH3" s="150" t="s">
        <v>132</v>
      </c>
      <c r="AI3" s="150" t="s">
        <v>132</v>
      </c>
      <c r="AJ3" s="150" t="s">
        <v>132</v>
      </c>
      <c r="AK3" s="150" t="s">
        <v>132</v>
      </c>
      <c r="AL3" s="150" t="s">
        <v>132</v>
      </c>
      <c r="AM3" s="150" t="s">
        <v>132</v>
      </c>
      <c r="AN3" s="150" t="s">
        <v>132</v>
      </c>
      <c r="AO3" s="150" t="s">
        <v>132</v>
      </c>
      <c r="AP3" s="150" t="s">
        <v>132</v>
      </c>
      <c r="AQ3" s="150" t="s">
        <v>132</v>
      </c>
      <c r="AR3" s="150" t="s">
        <v>132</v>
      </c>
      <c r="AS3" s="150" t="s">
        <v>132</v>
      </c>
      <c r="AT3" s="150" t="s">
        <v>132</v>
      </c>
      <c r="AU3" s="150" t="s">
        <v>132</v>
      </c>
      <c r="AV3" s="150" t="s">
        <v>132</v>
      </c>
      <c r="AW3" s="150" t="s">
        <v>132</v>
      </c>
      <c r="AX3" s="150" t="s">
        <v>132</v>
      </c>
      <c r="AY3" s="150" t="s">
        <v>132</v>
      </c>
      <c r="AZ3" s="150" t="s">
        <v>132</v>
      </c>
      <c r="BA3" s="150" t="s">
        <v>132</v>
      </c>
      <c r="BB3" s="150" t="s">
        <v>132</v>
      </c>
      <c r="BC3" s="150" t="s">
        <v>132</v>
      </c>
      <c r="BD3" s="150" t="s">
        <v>132</v>
      </c>
      <c r="BE3" s="150" t="s">
        <v>132</v>
      </c>
      <c r="BF3" s="150" t="s">
        <v>132</v>
      </c>
      <c r="BG3" s="150" t="s">
        <v>132</v>
      </c>
      <c r="BH3" s="150" t="s">
        <v>132</v>
      </c>
      <c r="BI3" s="150" t="s">
        <v>132</v>
      </c>
      <c r="BJ3" s="150" t="s">
        <v>132</v>
      </c>
      <c r="BK3" s="150" t="s">
        <v>132</v>
      </c>
      <c r="BL3" s="150" t="s">
        <v>132</v>
      </c>
      <c r="BM3" s="150" t="s">
        <v>132</v>
      </c>
      <c r="BN3" s="150" t="s">
        <v>132</v>
      </c>
      <c r="BO3" s="150" t="s">
        <v>132</v>
      </c>
      <c r="BP3" s="150" t="s">
        <v>132</v>
      </c>
      <c r="BQ3" s="150" t="s">
        <v>132</v>
      </c>
      <c r="BR3" s="150" t="s">
        <v>132</v>
      </c>
      <c r="BS3" s="150" t="s">
        <v>132</v>
      </c>
      <c r="BT3" s="150" t="s">
        <v>132</v>
      </c>
      <c r="BU3" s="150" t="s">
        <v>132</v>
      </c>
      <c r="BV3" s="150" t="s">
        <v>132</v>
      </c>
      <c r="BW3" s="150" t="s">
        <v>132</v>
      </c>
      <c r="BX3" s="150" t="s">
        <v>132</v>
      </c>
      <c r="BY3" s="150" t="s">
        <v>132</v>
      </c>
      <c r="BZ3" s="150" t="s">
        <v>132</v>
      </c>
      <c r="CA3" s="150" t="s">
        <v>132</v>
      </c>
      <c r="CB3" s="150" t="s">
        <v>132</v>
      </c>
      <c r="CC3" s="190" t="s">
        <v>132</v>
      </c>
      <c r="CD3" s="190" t="s">
        <v>132</v>
      </c>
      <c r="CE3" s="190" t="s">
        <v>132</v>
      </c>
      <c r="CF3" s="190" t="s">
        <v>132</v>
      </c>
      <c r="CG3" s="190" t="s">
        <v>132</v>
      </c>
      <c r="CH3" s="190" t="s">
        <v>132</v>
      </c>
      <c r="CI3" s="190" t="s">
        <v>132</v>
      </c>
      <c r="CJ3" s="190" t="s">
        <v>132</v>
      </c>
      <c r="CK3" s="190" t="s">
        <v>132</v>
      </c>
      <c r="CL3" s="190" t="s">
        <v>132</v>
      </c>
      <c r="CM3" s="190" t="s">
        <v>132</v>
      </c>
      <c r="CN3" s="190" t="s">
        <v>132</v>
      </c>
      <c r="CO3" s="190" t="s">
        <v>132</v>
      </c>
      <c r="CP3" s="190" t="s">
        <v>132</v>
      </c>
      <c r="CQ3" s="190" t="s">
        <v>132</v>
      </c>
      <c r="CR3" s="190" t="s">
        <v>132</v>
      </c>
      <c r="CS3" s="190" t="s">
        <v>132</v>
      </c>
      <c r="CT3" s="190" t="s">
        <v>132</v>
      </c>
      <c r="CU3" s="190" t="s">
        <v>132</v>
      </c>
      <c r="CV3" s="190" t="s">
        <v>132</v>
      </c>
      <c r="CW3" s="190" t="s">
        <v>132</v>
      </c>
      <c r="CX3" s="190" t="s">
        <v>132</v>
      </c>
      <c r="CY3" s="190" t="s">
        <v>132</v>
      </c>
      <c r="CZ3" s="190" t="s">
        <v>132</v>
      </c>
      <c r="DA3" s="190" t="s">
        <v>132</v>
      </c>
      <c r="DB3" s="190" t="s">
        <v>132</v>
      </c>
      <c r="DC3" s="190" t="s">
        <v>132</v>
      </c>
      <c r="DD3" s="190" t="s">
        <v>132</v>
      </c>
      <c r="DE3" s="190" t="s">
        <v>132</v>
      </c>
      <c r="DF3" s="190" t="s">
        <v>132</v>
      </c>
      <c r="DG3" s="190" t="s">
        <v>132</v>
      </c>
      <c r="DH3" s="190" t="s">
        <v>132</v>
      </c>
    </row>
    <row r="4" spans="1:112">
      <c r="A4" s="150" t="s">
        <v>120</v>
      </c>
      <c r="B4" s="150">
        <v>5</v>
      </c>
      <c r="C4" s="150">
        <v>5</v>
      </c>
      <c r="D4" s="150" t="s">
        <v>231</v>
      </c>
      <c r="E4" s="150" t="s">
        <v>231</v>
      </c>
      <c r="F4" s="150">
        <v>63</v>
      </c>
      <c r="G4" s="150" t="s">
        <v>234</v>
      </c>
      <c r="H4" s="150" t="s">
        <v>136</v>
      </c>
      <c r="I4" s="150" t="s">
        <v>239</v>
      </c>
      <c r="J4" s="150" t="s">
        <v>240</v>
      </c>
      <c r="K4" s="150" t="s">
        <v>239</v>
      </c>
      <c r="L4" s="150" t="s">
        <v>284</v>
      </c>
      <c r="M4" s="150">
        <v>1</v>
      </c>
      <c r="N4" s="150">
        <v>72</v>
      </c>
      <c r="O4" s="150">
        <v>0</v>
      </c>
      <c r="P4" s="150">
        <v>9</v>
      </c>
      <c r="Q4" s="153">
        <v>2.12974</v>
      </c>
      <c r="R4" s="153">
        <v>1.85714</v>
      </c>
      <c r="S4" s="154">
        <f>2.236*0.131395972541019</f>
        <v>0.2938013946017185</v>
      </c>
      <c r="T4" s="154">
        <f>2.236*0.103210467492402</f>
        <v>0.23077860531301089</v>
      </c>
      <c r="U4" s="155">
        <v>0.86434155825000003</v>
      </c>
      <c r="V4" s="155">
        <v>0.78273432080000005</v>
      </c>
      <c r="W4" s="155">
        <f>2.236*0.0709406687838995</f>
        <v>0.15862333540079929</v>
      </c>
      <c r="X4" s="155">
        <f>2.236*0.0425780434562719</f>
        <v>9.5204505168223971E-2</v>
      </c>
      <c r="Y4" s="156">
        <v>1065.9197417944536</v>
      </c>
      <c r="Z4" s="156">
        <v>1210.8669139967374</v>
      </c>
      <c r="AA4" s="156">
        <f>2.236*36.4320847784263</f>
        <v>81.462141564561222</v>
      </c>
      <c r="AB4" s="156">
        <f>2.236*39.7406308818209</f>
        <v>88.860050651751536</v>
      </c>
      <c r="AC4" s="156">
        <v>967.02531497553002</v>
      </c>
      <c r="AD4" s="156">
        <v>1363.8141644371899</v>
      </c>
      <c r="AE4" s="156">
        <f>2.236*42.5184534967596</f>
        <v>95.071262018754467</v>
      </c>
      <c r="AF4" s="156">
        <f>2.236*37.404832359755</f>
        <v>83.637205156412179</v>
      </c>
      <c r="AG4" s="156">
        <v>38.054290263999995</v>
      </c>
      <c r="AH4" s="156">
        <v>45.613149638000003</v>
      </c>
      <c r="AI4" s="156">
        <f>2.236*1.24482997549416</f>
        <v>2.7834398252049422</v>
      </c>
      <c r="AJ4" s="156">
        <f>2.236*1.78400974087482</f>
        <v>3.9890457805960975</v>
      </c>
      <c r="AK4" s="156">
        <v>53.425822064000002</v>
      </c>
      <c r="AL4" s="156">
        <v>125.398835674</v>
      </c>
      <c r="AM4" s="156">
        <f>2.236*3.19141870740626</f>
        <v>7.1360122297603974</v>
      </c>
      <c r="AN4" s="156">
        <f>2.236*11.5150872507985</f>
        <v>25.747735092785447</v>
      </c>
      <c r="AO4" s="150" t="s">
        <v>132</v>
      </c>
      <c r="AP4" s="150" t="s">
        <v>132</v>
      </c>
      <c r="AQ4" s="150" t="s">
        <v>132</v>
      </c>
      <c r="AR4" s="150" t="s">
        <v>132</v>
      </c>
      <c r="AS4" s="150" t="s">
        <v>132</v>
      </c>
      <c r="AT4" s="150" t="s">
        <v>132</v>
      </c>
      <c r="AU4" s="150" t="s">
        <v>132</v>
      </c>
      <c r="AV4" s="150" t="s">
        <v>132</v>
      </c>
      <c r="AW4" s="150" t="s">
        <v>132</v>
      </c>
      <c r="AX4" s="150" t="s">
        <v>132</v>
      </c>
      <c r="AY4" s="150" t="s">
        <v>132</v>
      </c>
      <c r="AZ4" s="150" t="s">
        <v>132</v>
      </c>
      <c r="BA4" s="150" t="s">
        <v>132</v>
      </c>
      <c r="BB4" s="150" t="s">
        <v>132</v>
      </c>
      <c r="BC4" s="150" t="s">
        <v>132</v>
      </c>
      <c r="BD4" s="150" t="s">
        <v>132</v>
      </c>
      <c r="BE4" s="150" t="s">
        <v>132</v>
      </c>
      <c r="BF4" s="150" t="s">
        <v>132</v>
      </c>
      <c r="BG4" s="150" t="s">
        <v>132</v>
      </c>
      <c r="BH4" s="150" t="s">
        <v>132</v>
      </c>
      <c r="BI4" s="150" t="s">
        <v>132</v>
      </c>
      <c r="BJ4" s="150" t="s">
        <v>132</v>
      </c>
      <c r="BK4" s="150" t="s">
        <v>132</v>
      </c>
      <c r="BL4" s="150" t="s">
        <v>132</v>
      </c>
      <c r="BM4" s="150" t="s">
        <v>132</v>
      </c>
      <c r="BN4" s="150" t="s">
        <v>132</v>
      </c>
      <c r="BO4" s="150" t="s">
        <v>132</v>
      </c>
      <c r="BP4" s="150" t="s">
        <v>132</v>
      </c>
      <c r="BQ4" s="150" t="s">
        <v>132</v>
      </c>
      <c r="BR4" s="150" t="s">
        <v>132</v>
      </c>
      <c r="BS4" s="150" t="s">
        <v>132</v>
      </c>
      <c r="BT4" s="150" t="s">
        <v>132</v>
      </c>
      <c r="BU4" s="150" t="s">
        <v>132</v>
      </c>
      <c r="BV4" s="150" t="s">
        <v>132</v>
      </c>
      <c r="BW4" s="150" t="s">
        <v>132</v>
      </c>
      <c r="BX4" s="150" t="s">
        <v>132</v>
      </c>
      <c r="BY4" s="150" t="s">
        <v>132</v>
      </c>
      <c r="BZ4" s="150" t="s">
        <v>132</v>
      </c>
      <c r="CA4" s="150" t="s">
        <v>132</v>
      </c>
      <c r="CB4" s="150" t="s">
        <v>132</v>
      </c>
      <c r="CC4" s="190" t="s">
        <v>132</v>
      </c>
      <c r="CD4" s="190" t="s">
        <v>132</v>
      </c>
      <c r="CE4" s="190" t="s">
        <v>132</v>
      </c>
      <c r="CF4" s="190" t="s">
        <v>132</v>
      </c>
      <c r="CG4" s="190" t="s">
        <v>132</v>
      </c>
      <c r="CH4" s="190" t="s">
        <v>132</v>
      </c>
      <c r="CI4" s="190" t="s">
        <v>132</v>
      </c>
      <c r="CJ4" s="190" t="s">
        <v>132</v>
      </c>
      <c r="CK4" s="190" t="s">
        <v>132</v>
      </c>
      <c r="CL4" s="190" t="s">
        <v>132</v>
      </c>
      <c r="CM4" s="190" t="s">
        <v>132</v>
      </c>
      <c r="CN4" s="190" t="s">
        <v>132</v>
      </c>
      <c r="CO4" s="190" t="s">
        <v>132</v>
      </c>
      <c r="CP4" s="190" t="s">
        <v>132</v>
      </c>
      <c r="CQ4" s="190" t="s">
        <v>132</v>
      </c>
      <c r="CR4" s="190" t="s">
        <v>132</v>
      </c>
      <c r="CS4" s="190" t="s">
        <v>132</v>
      </c>
      <c r="CT4" s="190" t="s">
        <v>132</v>
      </c>
      <c r="CU4" s="190" t="s">
        <v>132</v>
      </c>
      <c r="CV4" s="190" t="s">
        <v>132</v>
      </c>
      <c r="CW4" s="190" t="s">
        <v>132</v>
      </c>
      <c r="CX4" s="190" t="s">
        <v>132</v>
      </c>
      <c r="CY4" s="190" t="s">
        <v>132</v>
      </c>
      <c r="CZ4" s="190" t="s">
        <v>132</v>
      </c>
      <c r="DA4" s="190" t="s">
        <v>132</v>
      </c>
      <c r="DB4" s="190" t="s">
        <v>132</v>
      </c>
      <c r="DC4" s="190" t="s">
        <v>132</v>
      </c>
      <c r="DD4" s="190" t="s">
        <v>132</v>
      </c>
      <c r="DE4" s="190" t="s">
        <v>132</v>
      </c>
      <c r="DF4" s="190" t="s">
        <v>132</v>
      </c>
      <c r="DG4" s="190" t="s">
        <v>132</v>
      </c>
      <c r="DH4" s="190" t="s">
        <v>132</v>
      </c>
    </row>
    <row r="5" spans="1:112">
      <c r="A5" s="150" t="s">
        <v>120</v>
      </c>
      <c r="B5" s="150">
        <v>5</v>
      </c>
      <c r="C5" s="150">
        <v>5</v>
      </c>
      <c r="D5" s="150" t="s">
        <v>231</v>
      </c>
      <c r="E5" s="150" t="s">
        <v>231</v>
      </c>
      <c r="F5" s="150">
        <v>63</v>
      </c>
      <c r="G5" s="150" t="s">
        <v>234</v>
      </c>
      <c r="H5" s="150" t="s">
        <v>136</v>
      </c>
      <c r="I5" s="150" t="s">
        <v>239</v>
      </c>
      <c r="J5" s="150" t="s">
        <v>240</v>
      </c>
      <c r="K5" s="150" t="s">
        <v>239</v>
      </c>
      <c r="L5" s="150" t="s">
        <v>284</v>
      </c>
      <c r="M5" s="150">
        <v>3</v>
      </c>
      <c r="N5" s="150">
        <v>62</v>
      </c>
      <c r="O5" s="150">
        <v>1</v>
      </c>
      <c r="P5" s="150">
        <v>4</v>
      </c>
      <c r="Q5" s="153">
        <v>1.2023200000000001</v>
      </c>
      <c r="R5" s="153">
        <v>1.84674</v>
      </c>
      <c r="S5" s="154">
        <f>2.236*0.163917791590785</f>
        <v>0.36652018199699532</v>
      </c>
      <c r="T5" s="154">
        <f>2.236*0.10585715186042</f>
        <v>0.23669659155989914</v>
      </c>
      <c r="U5" s="155">
        <v>0.54801023000000004</v>
      </c>
      <c r="V5" s="155">
        <v>0.81577300959999999</v>
      </c>
      <c r="W5" s="155">
        <f>2.236*0.117680934732488</f>
        <v>0.26313457006184321</v>
      </c>
      <c r="X5" s="155">
        <f>2.236*0.0284754066985018</f>
        <v>6.367100937785003E-2</v>
      </c>
      <c r="Y5" s="156">
        <v>1132.7079491680263</v>
      </c>
      <c r="Z5" s="156">
        <v>1228.6939091027732</v>
      </c>
      <c r="AA5" s="156">
        <f>2.236*42.3342012813241</f>
        <v>94.659274065040691</v>
      </c>
      <c r="AB5" s="156">
        <f>2.236*41.4866901767332</f>
        <v>92.764239235175438</v>
      </c>
      <c r="AC5" s="156">
        <v>979.14966629690002</v>
      </c>
      <c r="AD5" s="156">
        <v>1436.08910355628</v>
      </c>
      <c r="AE5" s="156">
        <f>2.236*105.531289106682</f>
        <v>235.96796244254097</v>
      </c>
      <c r="AF5" s="156">
        <f>2.236*41.2412225305342</f>
        <v>92.21537357827448</v>
      </c>
      <c r="AG5" s="156">
        <v>168.10910052</v>
      </c>
      <c r="AH5" s="156">
        <v>143.38548682000001</v>
      </c>
      <c r="AI5" s="156">
        <f>2.236*2.33735368553528</f>
        <v>5.226322840856886</v>
      </c>
      <c r="AJ5" s="156">
        <f>2.236*4.49350961104188</f>
        <v>10.047487490289644</v>
      </c>
      <c r="AK5" s="156">
        <v>349.84350968000001</v>
      </c>
      <c r="AL5" s="156">
        <v>321.84212062</v>
      </c>
      <c r="AM5" s="156">
        <f>2.236*44.508289288011</f>
        <v>99.520534847992607</v>
      </c>
      <c r="AN5" s="156">
        <f>2.236*13.776750957704</f>
        <v>30.804815141426147</v>
      </c>
      <c r="AO5" s="150" t="s">
        <v>132</v>
      </c>
      <c r="AP5" s="150" t="s">
        <v>132</v>
      </c>
      <c r="AQ5" s="150" t="s">
        <v>132</v>
      </c>
      <c r="AR5" s="150" t="s">
        <v>132</v>
      </c>
      <c r="AS5" s="150" t="s">
        <v>132</v>
      </c>
      <c r="AT5" s="150" t="s">
        <v>132</v>
      </c>
      <c r="AU5" s="150" t="s">
        <v>132</v>
      </c>
      <c r="AV5" s="150" t="s">
        <v>132</v>
      </c>
      <c r="AW5" s="150" t="s">
        <v>132</v>
      </c>
      <c r="AX5" s="150" t="s">
        <v>132</v>
      </c>
      <c r="AY5" s="150" t="s">
        <v>132</v>
      </c>
      <c r="AZ5" s="150" t="s">
        <v>132</v>
      </c>
      <c r="BA5" s="150" t="s">
        <v>132</v>
      </c>
      <c r="BB5" s="150" t="s">
        <v>132</v>
      </c>
      <c r="BC5" s="150" t="s">
        <v>132</v>
      </c>
      <c r="BD5" s="150" t="s">
        <v>132</v>
      </c>
      <c r="BE5" s="150" t="s">
        <v>132</v>
      </c>
      <c r="BF5" s="150" t="s">
        <v>132</v>
      </c>
      <c r="BG5" s="150" t="s">
        <v>132</v>
      </c>
      <c r="BH5" s="150" t="s">
        <v>132</v>
      </c>
      <c r="BI5" s="150" t="s">
        <v>132</v>
      </c>
      <c r="BJ5" s="150" t="s">
        <v>132</v>
      </c>
      <c r="BK5" s="150" t="s">
        <v>132</v>
      </c>
      <c r="BL5" s="150" t="s">
        <v>132</v>
      </c>
      <c r="BM5" s="150" t="s">
        <v>132</v>
      </c>
      <c r="BN5" s="150" t="s">
        <v>132</v>
      </c>
      <c r="BO5" s="150" t="s">
        <v>132</v>
      </c>
      <c r="BP5" s="150" t="s">
        <v>132</v>
      </c>
      <c r="BQ5" s="150" t="s">
        <v>132</v>
      </c>
      <c r="BR5" s="150" t="s">
        <v>132</v>
      </c>
      <c r="BS5" s="150" t="s">
        <v>132</v>
      </c>
      <c r="BT5" s="150" t="s">
        <v>132</v>
      </c>
      <c r="BU5" s="150" t="s">
        <v>132</v>
      </c>
      <c r="BV5" s="150" t="s">
        <v>132</v>
      </c>
      <c r="BW5" s="150" t="s">
        <v>132</v>
      </c>
      <c r="BX5" s="150" t="s">
        <v>132</v>
      </c>
      <c r="BY5" s="150" t="s">
        <v>132</v>
      </c>
      <c r="BZ5" s="150" t="s">
        <v>132</v>
      </c>
      <c r="CA5" s="150" t="s">
        <v>132</v>
      </c>
      <c r="CB5" s="150" t="s">
        <v>132</v>
      </c>
      <c r="CC5" s="190" t="s">
        <v>132</v>
      </c>
      <c r="CD5" s="190" t="s">
        <v>132</v>
      </c>
      <c r="CE5" s="190" t="s">
        <v>132</v>
      </c>
      <c r="CF5" s="190" t="s">
        <v>132</v>
      </c>
      <c r="CG5" s="190" t="s">
        <v>132</v>
      </c>
      <c r="CH5" s="190" t="s">
        <v>132</v>
      </c>
      <c r="CI5" s="190" t="s">
        <v>132</v>
      </c>
      <c r="CJ5" s="190" t="s">
        <v>132</v>
      </c>
      <c r="CK5" s="190" t="s">
        <v>132</v>
      </c>
      <c r="CL5" s="190" t="s">
        <v>132</v>
      </c>
      <c r="CM5" s="190" t="s">
        <v>132</v>
      </c>
      <c r="CN5" s="190" t="s">
        <v>132</v>
      </c>
      <c r="CO5" s="190" t="s">
        <v>132</v>
      </c>
      <c r="CP5" s="190" t="s">
        <v>132</v>
      </c>
      <c r="CQ5" s="190" t="s">
        <v>132</v>
      </c>
      <c r="CR5" s="190" t="s">
        <v>132</v>
      </c>
      <c r="CS5" s="190" t="s">
        <v>132</v>
      </c>
      <c r="CT5" s="190" t="s">
        <v>132</v>
      </c>
      <c r="CU5" s="190" t="s">
        <v>132</v>
      </c>
      <c r="CV5" s="190" t="s">
        <v>132</v>
      </c>
      <c r="CW5" s="190" t="s">
        <v>132</v>
      </c>
      <c r="CX5" s="190" t="s">
        <v>132</v>
      </c>
      <c r="CY5" s="190" t="s">
        <v>132</v>
      </c>
      <c r="CZ5" s="190" t="s">
        <v>132</v>
      </c>
      <c r="DA5" s="190" t="s">
        <v>132</v>
      </c>
      <c r="DB5" s="190" t="s">
        <v>132</v>
      </c>
      <c r="DC5" s="190" t="s">
        <v>132</v>
      </c>
      <c r="DD5" s="190" t="s">
        <v>132</v>
      </c>
      <c r="DE5" s="190" t="s">
        <v>132</v>
      </c>
      <c r="DF5" s="190" t="s">
        <v>132</v>
      </c>
      <c r="DG5" s="190" t="s">
        <v>132</v>
      </c>
      <c r="DH5" s="190" t="s">
        <v>132</v>
      </c>
    </row>
    <row r="6" spans="1:112">
      <c r="A6" s="150" t="s">
        <v>120</v>
      </c>
      <c r="B6" s="150">
        <v>5</v>
      </c>
      <c r="C6" s="150">
        <v>5</v>
      </c>
      <c r="D6" s="150" t="s">
        <v>231</v>
      </c>
      <c r="E6" s="150" t="s">
        <v>231</v>
      </c>
      <c r="F6" s="150">
        <v>63</v>
      </c>
      <c r="G6" s="150" t="s">
        <v>234</v>
      </c>
      <c r="H6" s="150" t="s">
        <v>136</v>
      </c>
      <c r="I6" s="150" t="s">
        <v>239</v>
      </c>
      <c r="J6" s="150" t="s">
        <v>240</v>
      </c>
      <c r="K6" s="150" t="s">
        <v>239</v>
      </c>
      <c r="L6" s="150" t="s">
        <v>284</v>
      </c>
      <c r="M6" s="150">
        <v>1</v>
      </c>
      <c r="N6" s="150">
        <v>66</v>
      </c>
      <c r="O6" s="150">
        <v>1</v>
      </c>
      <c r="P6" s="150">
        <v>9</v>
      </c>
      <c r="Q6" s="153">
        <v>1.4351400000000001</v>
      </c>
      <c r="R6" s="153">
        <v>1.6658599999999999</v>
      </c>
      <c r="S6" s="154">
        <f>2.236*0.0970231343546471</f>
        <v>0.21694372841699094</v>
      </c>
      <c r="T6" s="154">
        <f>2.236*0.134220738338009</f>
        <v>0.3001175709237881</v>
      </c>
      <c r="U6" s="155">
        <v>0.67973574000000003</v>
      </c>
      <c r="V6" s="155">
        <v>0.90664086799999999</v>
      </c>
      <c r="W6" s="155">
        <f>2.236*0.106565434227047</f>
        <v>0.23828031093167712</v>
      </c>
      <c r="X6" s="155">
        <f>2.236*0.0860637079003</f>
        <v>0.19243845086507083</v>
      </c>
      <c r="Y6" s="156">
        <v>1231.199393278956</v>
      </c>
      <c r="Z6" s="156">
        <v>1269.0984123327896</v>
      </c>
      <c r="AA6" s="156">
        <f>2.236*30.1551001810614</f>
        <v>67.426804004853295</v>
      </c>
      <c r="AB6" s="156">
        <f>2.236*42.3989183121452</f>
        <v>94.803981345956672</v>
      </c>
      <c r="AC6" s="156">
        <v>1079.9074496574201</v>
      </c>
      <c r="AD6" s="156">
        <v>1494.33759706362</v>
      </c>
      <c r="AE6" s="156">
        <f>2.236*37.6272518168856</f>
        <v>84.134535062556196</v>
      </c>
      <c r="AF6" s="156">
        <f>2.236*152.876792945839</f>
        <v>341.83250902689599</v>
      </c>
      <c r="AG6" s="156">
        <v>332.24146712000004</v>
      </c>
      <c r="AH6" s="156">
        <v>293.99404414000003</v>
      </c>
      <c r="AI6" s="156">
        <f>2.236*11.1143444433104</f>
        <v>24.85167417524206</v>
      </c>
      <c r="AJ6" s="156">
        <f>2.236*15.5106548948428</f>
        <v>34.681824344868502</v>
      </c>
      <c r="AK6" s="156">
        <v>1161.3521416000001</v>
      </c>
      <c r="AL6" s="156">
        <v>1039.1521545600001</v>
      </c>
      <c r="AM6" s="156">
        <f>2.236*17.5006265272923</f>
        <v>39.131400915025587</v>
      </c>
      <c r="AN6" s="156">
        <f>2.236*41.5114627940973</f>
        <v>92.81963080760157</v>
      </c>
      <c r="AO6" s="150" t="s">
        <v>132</v>
      </c>
      <c r="AP6" s="150" t="s">
        <v>132</v>
      </c>
      <c r="AQ6" s="150" t="s">
        <v>132</v>
      </c>
      <c r="AR6" s="150" t="s">
        <v>132</v>
      </c>
      <c r="AS6" s="150" t="s">
        <v>132</v>
      </c>
      <c r="AT6" s="150" t="s">
        <v>132</v>
      </c>
      <c r="AU6" s="150" t="s">
        <v>132</v>
      </c>
      <c r="AV6" s="150" t="s">
        <v>132</v>
      </c>
      <c r="AW6" s="150" t="s">
        <v>132</v>
      </c>
      <c r="AX6" s="150" t="s">
        <v>132</v>
      </c>
      <c r="AY6" s="150" t="s">
        <v>132</v>
      </c>
      <c r="AZ6" s="150" t="s">
        <v>132</v>
      </c>
      <c r="BA6" s="150" t="s">
        <v>132</v>
      </c>
      <c r="BB6" s="150" t="s">
        <v>132</v>
      </c>
      <c r="BC6" s="150" t="s">
        <v>132</v>
      </c>
      <c r="BD6" s="150" t="s">
        <v>132</v>
      </c>
      <c r="BE6" s="150" t="s">
        <v>132</v>
      </c>
      <c r="BF6" s="150" t="s">
        <v>132</v>
      </c>
      <c r="BG6" s="150" t="s">
        <v>132</v>
      </c>
      <c r="BH6" s="150" t="s">
        <v>132</v>
      </c>
      <c r="BI6" s="150" t="s">
        <v>132</v>
      </c>
      <c r="BJ6" s="150" t="s">
        <v>132</v>
      </c>
      <c r="BK6" s="150" t="s">
        <v>132</v>
      </c>
      <c r="BL6" s="150" t="s">
        <v>132</v>
      </c>
      <c r="BM6" s="150" t="s">
        <v>132</v>
      </c>
      <c r="BN6" s="150" t="s">
        <v>132</v>
      </c>
      <c r="BO6" s="150" t="s">
        <v>132</v>
      </c>
      <c r="BP6" s="150" t="s">
        <v>132</v>
      </c>
      <c r="BQ6" s="150" t="s">
        <v>132</v>
      </c>
      <c r="BR6" s="150" t="s">
        <v>132</v>
      </c>
      <c r="BS6" s="150" t="s">
        <v>132</v>
      </c>
      <c r="BT6" s="150" t="s">
        <v>132</v>
      </c>
      <c r="BU6" s="150" t="s">
        <v>132</v>
      </c>
      <c r="BV6" s="150" t="s">
        <v>132</v>
      </c>
      <c r="BW6" s="150" t="s">
        <v>132</v>
      </c>
      <c r="BX6" s="150" t="s">
        <v>132</v>
      </c>
      <c r="BY6" s="150" t="s">
        <v>132</v>
      </c>
      <c r="BZ6" s="150" t="s">
        <v>132</v>
      </c>
      <c r="CA6" s="150" t="s">
        <v>132</v>
      </c>
      <c r="CB6" s="150" t="s">
        <v>132</v>
      </c>
      <c r="CC6" s="190" t="s">
        <v>132</v>
      </c>
      <c r="CD6" s="190" t="s">
        <v>132</v>
      </c>
      <c r="CE6" s="190" t="s">
        <v>132</v>
      </c>
      <c r="CF6" s="190" t="s">
        <v>132</v>
      </c>
      <c r="CG6" s="190" t="s">
        <v>132</v>
      </c>
      <c r="CH6" s="190" t="s">
        <v>132</v>
      </c>
      <c r="CI6" s="190" t="s">
        <v>132</v>
      </c>
      <c r="CJ6" s="190" t="s">
        <v>132</v>
      </c>
      <c r="CK6" s="190" t="s">
        <v>132</v>
      </c>
      <c r="CL6" s="190" t="s">
        <v>132</v>
      </c>
      <c r="CM6" s="190" t="s">
        <v>132</v>
      </c>
      <c r="CN6" s="190" t="s">
        <v>132</v>
      </c>
      <c r="CO6" s="190" t="s">
        <v>132</v>
      </c>
      <c r="CP6" s="190" t="s">
        <v>132</v>
      </c>
      <c r="CQ6" s="190" t="s">
        <v>132</v>
      </c>
      <c r="CR6" s="190" t="s">
        <v>132</v>
      </c>
      <c r="CS6" s="190" t="s">
        <v>132</v>
      </c>
      <c r="CT6" s="190" t="s">
        <v>132</v>
      </c>
      <c r="CU6" s="190" t="s">
        <v>132</v>
      </c>
      <c r="CV6" s="190" t="s">
        <v>132</v>
      </c>
      <c r="CW6" s="190" t="s">
        <v>132</v>
      </c>
      <c r="CX6" s="190" t="s">
        <v>132</v>
      </c>
      <c r="CY6" s="190" t="s">
        <v>132</v>
      </c>
      <c r="CZ6" s="190" t="s">
        <v>132</v>
      </c>
      <c r="DA6" s="190" t="s">
        <v>132</v>
      </c>
      <c r="DB6" s="190" t="s">
        <v>132</v>
      </c>
      <c r="DC6" s="190" t="s">
        <v>132</v>
      </c>
      <c r="DD6" s="190" t="s">
        <v>132</v>
      </c>
      <c r="DE6" s="190" t="s">
        <v>132</v>
      </c>
      <c r="DF6" s="190" t="s">
        <v>132</v>
      </c>
      <c r="DG6" s="190" t="s">
        <v>132</v>
      </c>
      <c r="DH6" s="190" t="s">
        <v>132</v>
      </c>
    </row>
    <row r="7" spans="1:112">
      <c r="A7" s="150" t="s">
        <v>120</v>
      </c>
      <c r="B7" s="150">
        <v>5</v>
      </c>
      <c r="C7" s="150">
        <v>5</v>
      </c>
      <c r="D7" s="150" t="s">
        <v>231</v>
      </c>
      <c r="E7" s="150" t="s">
        <v>231</v>
      </c>
      <c r="F7" s="150">
        <v>63</v>
      </c>
      <c r="G7" s="150" t="s">
        <v>234</v>
      </c>
      <c r="H7" s="150" t="s">
        <v>136</v>
      </c>
      <c r="I7" s="150" t="s">
        <v>239</v>
      </c>
      <c r="J7" s="150" t="s">
        <v>239</v>
      </c>
      <c r="K7" s="150" t="s">
        <v>239</v>
      </c>
      <c r="L7" s="150" t="s">
        <v>284</v>
      </c>
      <c r="M7" s="150">
        <v>0</v>
      </c>
      <c r="N7" s="150">
        <v>30</v>
      </c>
      <c r="O7" s="150">
        <v>0</v>
      </c>
      <c r="P7" s="150">
        <v>13</v>
      </c>
      <c r="Q7" s="155">
        <v>14.994080000000002</v>
      </c>
      <c r="R7" s="155">
        <v>14.088640000000002</v>
      </c>
      <c r="S7" s="155">
        <f>2.236*0.701432478147391</f>
        <v>1.5684030211375664</v>
      </c>
      <c r="T7" s="155">
        <f>2.236*0.792668767266627</f>
        <v>1.7724073636081783</v>
      </c>
      <c r="U7" s="155">
        <v>3.1006999999999998</v>
      </c>
      <c r="V7" s="155">
        <v>3.0042200000000001</v>
      </c>
      <c r="W7" s="155">
        <f>2.236*0.312840764607172</f>
        <v>0.69951194966163655</v>
      </c>
      <c r="X7" s="155">
        <f>2.236*0.368443264831914</f>
        <v>0.82383914016415971</v>
      </c>
      <c r="Y7" s="156">
        <v>1318.0762953996737</v>
      </c>
      <c r="Z7" s="156">
        <v>1317.1661436215334</v>
      </c>
      <c r="AA7" s="156">
        <f>2.236*39.574255876222</f>
        <v>88.488036139232392</v>
      </c>
      <c r="AB7" s="156">
        <f>2.236*32.3697325478175</f>
        <v>72.378721976919934</v>
      </c>
      <c r="AC7" s="156">
        <v>974.10649526916802</v>
      </c>
      <c r="AD7" s="156">
        <v>979.55247588907002</v>
      </c>
      <c r="AE7" s="156">
        <f>2.236*26.3086066256966</f>
        <v>58.826044415057609</v>
      </c>
      <c r="AF7" s="156">
        <f>2.236*70.5318293978266</f>
        <v>157.70917053354029</v>
      </c>
      <c r="AG7" s="156">
        <v>18.018644462000001</v>
      </c>
      <c r="AH7" s="156">
        <v>15.198875348000001</v>
      </c>
      <c r="AI7" s="156">
        <f>2.236*1.88009338351323</f>
        <v>4.2038888055355832</v>
      </c>
      <c r="AJ7" s="156">
        <f>2.236*0.932520425725241</f>
        <v>2.0851156719216388</v>
      </c>
      <c r="AK7" s="156">
        <v>42.238170246000003</v>
      </c>
      <c r="AL7" s="156">
        <v>69.142090576000001</v>
      </c>
      <c r="AM7" s="156">
        <f>2.236*3.82959266051317</f>
        <v>8.5629691889074486</v>
      </c>
      <c r="AN7" s="156">
        <f>2.236*18.2932319999381</f>
        <v>40.9036667518616</v>
      </c>
      <c r="AO7" s="150" t="s">
        <v>132</v>
      </c>
      <c r="AP7" s="150" t="s">
        <v>132</v>
      </c>
      <c r="AQ7" s="150" t="s">
        <v>132</v>
      </c>
      <c r="AR7" s="150" t="s">
        <v>132</v>
      </c>
      <c r="AS7" s="150" t="s">
        <v>132</v>
      </c>
      <c r="AT7" s="150" t="s">
        <v>132</v>
      </c>
      <c r="AU7" s="150" t="s">
        <v>132</v>
      </c>
      <c r="AV7" s="150" t="s">
        <v>132</v>
      </c>
      <c r="AW7" s="150" t="s">
        <v>132</v>
      </c>
      <c r="AX7" s="150" t="s">
        <v>132</v>
      </c>
      <c r="AY7" s="150" t="s">
        <v>132</v>
      </c>
      <c r="AZ7" s="150" t="s">
        <v>132</v>
      </c>
      <c r="BA7" s="150" t="s">
        <v>132</v>
      </c>
      <c r="BB7" s="150" t="s">
        <v>132</v>
      </c>
      <c r="BC7" s="150" t="s">
        <v>132</v>
      </c>
      <c r="BD7" s="150" t="s">
        <v>132</v>
      </c>
      <c r="BE7" s="150" t="s">
        <v>132</v>
      </c>
      <c r="BF7" s="150" t="s">
        <v>132</v>
      </c>
      <c r="BG7" s="150" t="s">
        <v>132</v>
      </c>
      <c r="BH7" s="150" t="s">
        <v>132</v>
      </c>
      <c r="BI7" s="150" t="s">
        <v>132</v>
      </c>
      <c r="BJ7" s="150" t="s">
        <v>132</v>
      </c>
      <c r="BK7" s="150" t="s">
        <v>132</v>
      </c>
      <c r="BL7" s="150" t="s">
        <v>132</v>
      </c>
      <c r="BM7" s="150" t="s">
        <v>132</v>
      </c>
      <c r="BN7" s="150" t="s">
        <v>132</v>
      </c>
      <c r="BO7" s="150" t="s">
        <v>132</v>
      </c>
      <c r="BP7" s="150" t="s">
        <v>132</v>
      </c>
      <c r="BQ7" s="150" t="s">
        <v>132</v>
      </c>
      <c r="BR7" s="150" t="s">
        <v>132</v>
      </c>
      <c r="BS7" s="150" t="s">
        <v>132</v>
      </c>
      <c r="BT7" s="150" t="s">
        <v>132</v>
      </c>
      <c r="BU7" s="150" t="s">
        <v>132</v>
      </c>
      <c r="BV7" s="150" t="s">
        <v>132</v>
      </c>
      <c r="BW7" s="150" t="s">
        <v>132</v>
      </c>
      <c r="BX7" s="150" t="s">
        <v>132</v>
      </c>
      <c r="BY7" s="150" t="s">
        <v>132</v>
      </c>
      <c r="BZ7" s="150" t="s">
        <v>132</v>
      </c>
      <c r="CA7" s="150" t="s">
        <v>132</v>
      </c>
      <c r="CB7" s="150" t="s">
        <v>132</v>
      </c>
      <c r="CC7" s="190" t="s">
        <v>132</v>
      </c>
      <c r="CD7" s="190" t="s">
        <v>132</v>
      </c>
      <c r="CE7" s="190" t="s">
        <v>132</v>
      </c>
      <c r="CF7" s="190" t="s">
        <v>132</v>
      </c>
      <c r="CG7" s="190" t="s">
        <v>132</v>
      </c>
      <c r="CH7" s="190" t="s">
        <v>132</v>
      </c>
      <c r="CI7" s="190" t="s">
        <v>132</v>
      </c>
      <c r="CJ7" s="190" t="s">
        <v>132</v>
      </c>
      <c r="CK7" s="190" t="s">
        <v>132</v>
      </c>
      <c r="CL7" s="190" t="s">
        <v>132</v>
      </c>
      <c r="CM7" s="190" t="s">
        <v>132</v>
      </c>
      <c r="CN7" s="190" t="s">
        <v>132</v>
      </c>
      <c r="CO7" s="190" t="s">
        <v>132</v>
      </c>
      <c r="CP7" s="190" t="s">
        <v>132</v>
      </c>
      <c r="CQ7" s="190" t="s">
        <v>132</v>
      </c>
      <c r="CR7" s="190" t="s">
        <v>132</v>
      </c>
      <c r="CS7" s="190" t="s">
        <v>132</v>
      </c>
      <c r="CT7" s="190" t="s">
        <v>132</v>
      </c>
      <c r="CU7" s="190" t="s">
        <v>132</v>
      </c>
      <c r="CV7" s="190" t="s">
        <v>132</v>
      </c>
      <c r="CW7" s="190" t="s">
        <v>132</v>
      </c>
      <c r="CX7" s="190" t="s">
        <v>132</v>
      </c>
      <c r="CY7" s="190" t="s">
        <v>132</v>
      </c>
      <c r="CZ7" s="190" t="s">
        <v>132</v>
      </c>
      <c r="DA7" s="190" t="s">
        <v>132</v>
      </c>
      <c r="DB7" s="190" t="s">
        <v>132</v>
      </c>
      <c r="DC7" s="190" t="s">
        <v>132</v>
      </c>
      <c r="DD7" s="190" t="s">
        <v>132</v>
      </c>
      <c r="DE7" s="190" t="s">
        <v>132</v>
      </c>
      <c r="DF7" s="190" t="s">
        <v>132</v>
      </c>
      <c r="DG7" s="190" t="s">
        <v>132</v>
      </c>
      <c r="DH7" s="190" t="s">
        <v>132</v>
      </c>
    </row>
    <row r="8" spans="1:112">
      <c r="A8" s="150" t="s">
        <v>120</v>
      </c>
      <c r="B8" s="150">
        <v>5</v>
      </c>
      <c r="C8" s="150">
        <v>5</v>
      </c>
      <c r="D8" s="150" t="s">
        <v>231</v>
      </c>
      <c r="E8" s="150" t="s">
        <v>231</v>
      </c>
      <c r="F8" s="150">
        <v>63</v>
      </c>
      <c r="G8" s="150" t="s">
        <v>234</v>
      </c>
      <c r="H8" s="150" t="s">
        <v>136</v>
      </c>
      <c r="I8" s="150" t="s">
        <v>239</v>
      </c>
      <c r="J8" s="150" t="s">
        <v>239</v>
      </c>
      <c r="K8" s="150" t="s">
        <v>239</v>
      </c>
      <c r="L8" s="150" t="s">
        <v>284</v>
      </c>
      <c r="M8" s="150">
        <v>0</v>
      </c>
      <c r="N8" s="150">
        <v>26</v>
      </c>
      <c r="O8" s="150">
        <v>0</v>
      </c>
      <c r="P8" s="150">
        <v>11</v>
      </c>
      <c r="Q8" s="155">
        <v>14.925419999999999</v>
      </c>
      <c r="R8" s="155">
        <v>12.771840000000001</v>
      </c>
      <c r="S8" s="155">
        <f>2.236*0.531359334537383</f>
        <v>1.1881194720255885</v>
      </c>
      <c r="T8" s="155">
        <f>2.236*0.648924343510086</f>
        <v>1.4509948320885524</v>
      </c>
      <c r="U8" s="155">
        <v>3.4080400000000002</v>
      </c>
      <c r="V8" s="155">
        <v>3.0318800000000001</v>
      </c>
      <c r="W8" s="155">
        <f>2.236*0.32317144613966</f>
        <v>0.72261135356827977</v>
      </c>
      <c r="X8" s="155">
        <f>2.236*0.239131606861159</f>
        <v>0.53469827294155159</v>
      </c>
      <c r="Y8" s="156">
        <v>1262.7139432300162</v>
      </c>
      <c r="Z8" s="156">
        <v>1348.2176522022842</v>
      </c>
      <c r="AA8" s="156">
        <f>2.236*10.6282997632763</f>
        <v>23.764878270685806</v>
      </c>
      <c r="AB8" s="156">
        <f>2.236*40.9725035457296</f>
        <v>91.614517928251402</v>
      </c>
      <c r="AC8" s="156">
        <v>815.67826303425795</v>
      </c>
      <c r="AD8" s="156">
        <v>971.72559073409502</v>
      </c>
      <c r="AE8" s="156">
        <f>2.236*44.8937161479547</f>
        <v>100.38234930682671</v>
      </c>
      <c r="AF8" s="156">
        <f>2.236*65.7686601013148</f>
        <v>147.05872398653989</v>
      </c>
      <c r="AG8" s="156">
        <v>152.12942614000002</v>
      </c>
      <c r="AH8" s="156">
        <v>139.49856851999999</v>
      </c>
      <c r="AI8" s="156">
        <f>2.236*13.5082067579147</f>
        <v>30.204350310697272</v>
      </c>
      <c r="AJ8" s="156">
        <f>2.236*4.44603400257853</f>
        <v>9.9413320297655954</v>
      </c>
      <c r="AK8" s="156">
        <v>122.67633798999999</v>
      </c>
      <c r="AL8" s="156">
        <v>140.73507838</v>
      </c>
      <c r="AM8" s="156">
        <f>2.236*14.9693024863102</f>
        <v>33.471360359389614</v>
      </c>
      <c r="AN8" s="156">
        <f>2.236*16.1477448431876</f>
        <v>36.106357469367474</v>
      </c>
      <c r="AO8" s="150" t="s">
        <v>132</v>
      </c>
      <c r="AP8" s="150" t="s">
        <v>132</v>
      </c>
      <c r="AQ8" s="150" t="s">
        <v>132</v>
      </c>
      <c r="AR8" s="150" t="s">
        <v>132</v>
      </c>
      <c r="AS8" s="150" t="s">
        <v>132</v>
      </c>
      <c r="AT8" s="150" t="s">
        <v>132</v>
      </c>
      <c r="AU8" s="150" t="s">
        <v>132</v>
      </c>
      <c r="AV8" s="150" t="s">
        <v>132</v>
      </c>
      <c r="AW8" s="150" t="s">
        <v>132</v>
      </c>
      <c r="AX8" s="150" t="s">
        <v>132</v>
      </c>
      <c r="AY8" s="150" t="s">
        <v>132</v>
      </c>
      <c r="AZ8" s="150" t="s">
        <v>132</v>
      </c>
      <c r="BA8" s="150" t="s">
        <v>132</v>
      </c>
      <c r="BB8" s="150" t="s">
        <v>132</v>
      </c>
      <c r="BC8" s="150" t="s">
        <v>132</v>
      </c>
      <c r="BD8" s="150" t="s">
        <v>132</v>
      </c>
      <c r="BE8" s="150" t="s">
        <v>132</v>
      </c>
      <c r="BF8" s="150" t="s">
        <v>132</v>
      </c>
      <c r="BG8" s="150" t="s">
        <v>132</v>
      </c>
      <c r="BH8" s="150" t="s">
        <v>132</v>
      </c>
      <c r="BI8" s="150" t="s">
        <v>132</v>
      </c>
      <c r="BJ8" s="150" t="s">
        <v>132</v>
      </c>
      <c r="BK8" s="150" t="s">
        <v>132</v>
      </c>
      <c r="BL8" s="150" t="s">
        <v>132</v>
      </c>
      <c r="BM8" s="150" t="s">
        <v>132</v>
      </c>
      <c r="BN8" s="150" t="s">
        <v>132</v>
      </c>
      <c r="BO8" s="150" t="s">
        <v>132</v>
      </c>
      <c r="BP8" s="150" t="s">
        <v>132</v>
      </c>
      <c r="BQ8" s="150" t="s">
        <v>132</v>
      </c>
      <c r="BR8" s="150" t="s">
        <v>132</v>
      </c>
      <c r="BS8" s="150" t="s">
        <v>132</v>
      </c>
      <c r="BT8" s="150" t="s">
        <v>132</v>
      </c>
      <c r="BU8" s="150" t="s">
        <v>132</v>
      </c>
      <c r="BV8" s="150" t="s">
        <v>132</v>
      </c>
      <c r="BW8" s="150" t="s">
        <v>132</v>
      </c>
      <c r="BX8" s="150" t="s">
        <v>132</v>
      </c>
      <c r="BY8" s="150" t="s">
        <v>132</v>
      </c>
      <c r="BZ8" s="150" t="s">
        <v>132</v>
      </c>
      <c r="CA8" s="150" t="s">
        <v>132</v>
      </c>
      <c r="CB8" s="150" t="s">
        <v>132</v>
      </c>
      <c r="CC8" s="190" t="s">
        <v>132</v>
      </c>
      <c r="CD8" s="190" t="s">
        <v>132</v>
      </c>
      <c r="CE8" s="190" t="s">
        <v>132</v>
      </c>
      <c r="CF8" s="190" t="s">
        <v>132</v>
      </c>
      <c r="CG8" s="190" t="s">
        <v>132</v>
      </c>
      <c r="CH8" s="190" t="s">
        <v>132</v>
      </c>
      <c r="CI8" s="190" t="s">
        <v>132</v>
      </c>
      <c r="CJ8" s="190" t="s">
        <v>132</v>
      </c>
      <c r="CK8" s="190" t="s">
        <v>132</v>
      </c>
      <c r="CL8" s="190" t="s">
        <v>132</v>
      </c>
      <c r="CM8" s="190" t="s">
        <v>132</v>
      </c>
      <c r="CN8" s="190" t="s">
        <v>132</v>
      </c>
      <c r="CO8" s="190" t="s">
        <v>132</v>
      </c>
      <c r="CP8" s="190" t="s">
        <v>132</v>
      </c>
      <c r="CQ8" s="190" t="s">
        <v>132</v>
      </c>
      <c r="CR8" s="190" t="s">
        <v>132</v>
      </c>
      <c r="CS8" s="190" t="s">
        <v>132</v>
      </c>
      <c r="CT8" s="190" t="s">
        <v>132</v>
      </c>
      <c r="CU8" s="190" t="s">
        <v>132</v>
      </c>
      <c r="CV8" s="190" t="s">
        <v>132</v>
      </c>
      <c r="CW8" s="190" t="s">
        <v>132</v>
      </c>
      <c r="CX8" s="190" t="s">
        <v>132</v>
      </c>
      <c r="CY8" s="190" t="s">
        <v>132</v>
      </c>
      <c r="CZ8" s="190" t="s">
        <v>132</v>
      </c>
      <c r="DA8" s="190" t="s">
        <v>132</v>
      </c>
      <c r="DB8" s="190" t="s">
        <v>132</v>
      </c>
      <c r="DC8" s="190" t="s">
        <v>132</v>
      </c>
      <c r="DD8" s="190" t="s">
        <v>132</v>
      </c>
      <c r="DE8" s="190" t="s">
        <v>132</v>
      </c>
      <c r="DF8" s="190" t="s">
        <v>132</v>
      </c>
      <c r="DG8" s="190" t="s">
        <v>132</v>
      </c>
      <c r="DH8" s="190" t="s">
        <v>132</v>
      </c>
    </row>
    <row r="9" spans="1:112">
      <c r="A9" s="150" t="s">
        <v>120</v>
      </c>
      <c r="B9" s="150">
        <v>5</v>
      </c>
      <c r="C9" s="150">
        <v>5</v>
      </c>
      <c r="D9" s="150" t="s">
        <v>231</v>
      </c>
      <c r="E9" s="150" t="s">
        <v>231</v>
      </c>
      <c r="F9" s="150">
        <v>63</v>
      </c>
      <c r="G9" s="150" t="s">
        <v>234</v>
      </c>
      <c r="H9" s="150" t="s">
        <v>136</v>
      </c>
      <c r="I9" s="150" t="s">
        <v>239</v>
      </c>
      <c r="J9" s="150" t="s">
        <v>239</v>
      </c>
      <c r="K9" s="150" t="s">
        <v>239</v>
      </c>
      <c r="L9" s="150" t="s">
        <v>284</v>
      </c>
      <c r="M9" s="150">
        <v>0</v>
      </c>
      <c r="N9" s="150">
        <v>22</v>
      </c>
      <c r="O9" s="150">
        <v>0</v>
      </c>
      <c r="P9" s="150">
        <v>16</v>
      </c>
      <c r="Q9" s="155">
        <v>13.237459999999999</v>
      </c>
      <c r="R9" s="155">
        <v>13.434559999999999</v>
      </c>
      <c r="S9" s="155">
        <f>2.236*0.334038033163897</f>
        <v>0.74690904215447385</v>
      </c>
      <c r="T9" s="155">
        <f>2.236*0.346595341284327</f>
        <v>0.7749871831117553</v>
      </c>
      <c r="U9" s="155">
        <v>3.6106600000000002</v>
      </c>
      <c r="V9" s="155">
        <v>2.8068200000000001</v>
      </c>
      <c r="W9" s="155">
        <f>2.236*0.269706289507679</f>
        <v>0.60306326333917026</v>
      </c>
      <c r="X9" s="155">
        <f>2.236*0.21878401769782</f>
        <v>0.48920106357232557</v>
      </c>
      <c r="Y9" s="156">
        <v>1303.6016209461663</v>
      </c>
      <c r="Z9" s="156">
        <v>1288.8317759216966</v>
      </c>
      <c r="AA9" s="156">
        <f>2.236*20.4814260893783</f>
        <v>45.796468735849885</v>
      </c>
      <c r="AB9" s="156">
        <f>2.236*35.8183876410364</f>
        <v>80.089914765357406</v>
      </c>
      <c r="AC9" s="156">
        <v>922.32372345840099</v>
      </c>
      <c r="AD9" s="156">
        <v>896.69870675367099</v>
      </c>
      <c r="AE9" s="156">
        <f>2.236*38.3992514102093</f>
        <v>85.860726153228015</v>
      </c>
      <c r="AF9" s="156">
        <f>2.236*90.1211977964248</f>
        <v>201.51099827280586</v>
      </c>
      <c r="AG9" s="156">
        <v>423.13597854</v>
      </c>
      <c r="AH9" s="156">
        <v>314.0731629</v>
      </c>
      <c r="AI9" s="156">
        <f>2.236*37.8378410025676</f>
        <v>84.605412481741169</v>
      </c>
      <c r="AJ9" s="156">
        <f>2.236*22.395517467425</f>
        <v>50.076377057162311</v>
      </c>
      <c r="AK9" s="156">
        <v>605.05067087999998</v>
      </c>
      <c r="AL9" s="156">
        <v>532.03354135999996</v>
      </c>
      <c r="AM9" s="156">
        <f>2.236*38.4034754448508</f>
        <v>85.870171094686398</v>
      </c>
      <c r="AN9" s="156">
        <f>2.236*34.3425965375932</f>
        <v>76.790045858058406</v>
      </c>
      <c r="AO9" s="150" t="s">
        <v>132</v>
      </c>
      <c r="AP9" s="150" t="s">
        <v>132</v>
      </c>
      <c r="AQ9" s="150" t="s">
        <v>132</v>
      </c>
      <c r="AR9" s="150" t="s">
        <v>132</v>
      </c>
      <c r="AS9" s="150" t="s">
        <v>132</v>
      </c>
      <c r="AT9" s="150" t="s">
        <v>132</v>
      </c>
      <c r="AU9" s="150" t="s">
        <v>132</v>
      </c>
      <c r="AV9" s="150" t="s">
        <v>132</v>
      </c>
      <c r="AW9" s="150" t="s">
        <v>132</v>
      </c>
      <c r="AX9" s="150" t="s">
        <v>132</v>
      </c>
      <c r="AY9" s="150" t="s">
        <v>132</v>
      </c>
      <c r="AZ9" s="150" t="s">
        <v>132</v>
      </c>
      <c r="BA9" s="150" t="s">
        <v>132</v>
      </c>
      <c r="BB9" s="150" t="s">
        <v>132</v>
      </c>
      <c r="BC9" s="150" t="s">
        <v>132</v>
      </c>
      <c r="BD9" s="150" t="s">
        <v>132</v>
      </c>
      <c r="BE9" s="150" t="s">
        <v>132</v>
      </c>
      <c r="BF9" s="150" t="s">
        <v>132</v>
      </c>
      <c r="BG9" s="150" t="s">
        <v>132</v>
      </c>
      <c r="BH9" s="150" t="s">
        <v>132</v>
      </c>
      <c r="BI9" s="150" t="s">
        <v>132</v>
      </c>
      <c r="BJ9" s="150" t="s">
        <v>132</v>
      </c>
      <c r="BK9" s="150" t="s">
        <v>132</v>
      </c>
      <c r="BL9" s="150" t="s">
        <v>132</v>
      </c>
      <c r="BM9" s="150" t="s">
        <v>132</v>
      </c>
      <c r="BN9" s="150" t="s">
        <v>132</v>
      </c>
      <c r="BO9" s="150" t="s">
        <v>132</v>
      </c>
      <c r="BP9" s="150" t="s">
        <v>132</v>
      </c>
      <c r="BQ9" s="150" t="s">
        <v>132</v>
      </c>
      <c r="BR9" s="150" t="s">
        <v>132</v>
      </c>
      <c r="BS9" s="150" t="s">
        <v>132</v>
      </c>
      <c r="BT9" s="150" t="s">
        <v>132</v>
      </c>
      <c r="BU9" s="150" t="s">
        <v>132</v>
      </c>
      <c r="BV9" s="150" t="s">
        <v>132</v>
      </c>
      <c r="BW9" s="150" t="s">
        <v>132</v>
      </c>
      <c r="BX9" s="150" t="s">
        <v>132</v>
      </c>
      <c r="BY9" s="150" t="s">
        <v>132</v>
      </c>
      <c r="BZ9" s="150" t="s">
        <v>132</v>
      </c>
      <c r="CA9" s="150" t="s">
        <v>132</v>
      </c>
      <c r="CB9" s="150" t="s">
        <v>132</v>
      </c>
      <c r="CC9" s="190" t="s">
        <v>132</v>
      </c>
      <c r="CD9" s="190" t="s">
        <v>132</v>
      </c>
      <c r="CE9" s="190" t="s">
        <v>132</v>
      </c>
      <c r="CF9" s="190" t="s">
        <v>132</v>
      </c>
      <c r="CG9" s="190" t="s">
        <v>132</v>
      </c>
      <c r="CH9" s="190" t="s">
        <v>132</v>
      </c>
      <c r="CI9" s="190" t="s">
        <v>132</v>
      </c>
      <c r="CJ9" s="190" t="s">
        <v>132</v>
      </c>
      <c r="CK9" s="190" t="s">
        <v>132</v>
      </c>
      <c r="CL9" s="190" t="s">
        <v>132</v>
      </c>
      <c r="CM9" s="190" t="s">
        <v>132</v>
      </c>
      <c r="CN9" s="190" t="s">
        <v>132</v>
      </c>
      <c r="CO9" s="190" t="s">
        <v>132</v>
      </c>
      <c r="CP9" s="190" t="s">
        <v>132</v>
      </c>
      <c r="CQ9" s="190" t="s">
        <v>132</v>
      </c>
      <c r="CR9" s="190" t="s">
        <v>132</v>
      </c>
      <c r="CS9" s="190" t="s">
        <v>132</v>
      </c>
      <c r="CT9" s="190" t="s">
        <v>132</v>
      </c>
      <c r="CU9" s="190" t="s">
        <v>132</v>
      </c>
      <c r="CV9" s="190" t="s">
        <v>132</v>
      </c>
      <c r="CW9" s="190" t="s">
        <v>132</v>
      </c>
      <c r="CX9" s="190" t="s">
        <v>132</v>
      </c>
      <c r="CY9" s="190" t="s">
        <v>132</v>
      </c>
      <c r="CZ9" s="190" t="s">
        <v>132</v>
      </c>
      <c r="DA9" s="190" t="s">
        <v>132</v>
      </c>
      <c r="DB9" s="190" t="s">
        <v>132</v>
      </c>
      <c r="DC9" s="190" t="s">
        <v>132</v>
      </c>
      <c r="DD9" s="190" t="s">
        <v>132</v>
      </c>
      <c r="DE9" s="190" t="s">
        <v>132</v>
      </c>
      <c r="DF9" s="190" t="s">
        <v>132</v>
      </c>
      <c r="DG9" s="190" t="s">
        <v>132</v>
      </c>
      <c r="DH9" s="190" t="s">
        <v>132</v>
      </c>
    </row>
    <row r="10" spans="1:112">
      <c r="A10" s="150" t="s">
        <v>130</v>
      </c>
      <c r="B10" s="150">
        <v>6</v>
      </c>
      <c r="C10" s="150">
        <v>6</v>
      </c>
      <c r="D10" s="150" t="s">
        <v>231</v>
      </c>
      <c r="E10" s="150" t="s">
        <v>231</v>
      </c>
      <c r="F10" s="150">
        <v>63</v>
      </c>
      <c r="G10" s="150" t="s">
        <v>234</v>
      </c>
      <c r="H10" s="150" t="s">
        <v>136</v>
      </c>
      <c r="I10" s="150" t="s">
        <v>239</v>
      </c>
      <c r="J10" s="150" t="s">
        <v>240</v>
      </c>
      <c r="K10" s="150" t="s">
        <v>239</v>
      </c>
      <c r="L10" s="150" t="s">
        <v>283</v>
      </c>
      <c r="M10" s="150">
        <v>5</v>
      </c>
      <c r="N10" s="150">
        <v>55</v>
      </c>
      <c r="O10" s="150">
        <v>2</v>
      </c>
      <c r="P10" s="150">
        <v>20</v>
      </c>
      <c r="Q10" s="155">
        <v>0.12325</v>
      </c>
      <c r="R10" s="155">
        <v>0.26750000000000002</v>
      </c>
      <c r="S10" s="155">
        <f>2.45*0.043396572445298</f>
        <v>0.1063216024909801</v>
      </c>
      <c r="T10" s="155">
        <f>2.45*0.0500384851889024</f>
        <v>0.12259428871281089</v>
      </c>
      <c r="U10" s="155">
        <v>6.0083333000000003E-2</v>
      </c>
      <c r="V10" s="155">
        <v>8.8833330000000002E-2</v>
      </c>
      <c r="W10" s="155">
        <f>2.45*0.0207213322716256</f>
        <v>5.0767264065482723E-2</v>
      </c>
      <c r="X10" s="155">
        <f>2.45*0.0173482307775494</f>
        <v>4.2503165404996032E-2</v>
      </c>
      <c r="Y10" s="150">
        <v>1008</v>
      </c>
      <c r="Z10" s="150">
        <v>1552</v>
      </c>
      <c r="AA10" s="156">
        <f>2.45*71.5735829603197</f>
        <v>175.35527825278328</v>
      </c>
      <c r="AB10" s="156">
        <f>2.45*72.7285669076771</f>
        <v>178.18498892380893</v>
      </c>
      <c r="AC10" s="150">
        <v>847</v>
      </c>
      <c r="AD10" s="150">
        <v>1298</v>
      </c>
      <c r="AE10" s="156">
        <f>2.45*77.9601037568433</f>
        <v>191.00225420426608</v>
      </c>
      <c r="AF10" s="156">
        <f>2.45*79.7670218685504</f>
        <v>195.4292035779485</v>
      </c>
      <c r="AG10" s="150">
        <v>114</v>
      </c>
      <c r="AH10" s="150">
        <v>92</v>
      </c>
      <c r="AI10" s="156">
        <f>2.45*9.80382830909764</f>
        <v>24.019379357289218</v>
      </c>
      <c r="AJ10" s="156">
        <f>2.45*9.89939386433147</f>
        <v>24.253514967612105</v>
      </c>
      <c r="AK10" s="157">
        <v>111.53961894741389</v>
      </c>
      <c r="AL10" s="157">
        <v>92.449528650328674</v>
      </c>
      <c r="AM10" s="156">
        <f>2.45*12.4497951537753</f>
        <v>30.501998126749488</v>
      </c>
      <c r="AN10" s="156">
        <f>2.45*17.4996022909376</f>
        <v>42.874025612797119</v>
      </c>
      <c r="AO10" s="176">
        <v>23966.666666666668</v>
      </c>
      <c r="AP10" s="176">
        <v>30666.666666666668</v>
      </c>
      <c r="AQ10" s="176">
        <v>6321.2867888323735</v>
      </c>
      <c r="AR10" s="176">
        <v>3265.9863237108943</v>
      </c>
      <c r="AS10" s="176">
        <v>19433.333333333332</v>
      </c>
      <c r="AT10" s="176">
        <v>22216.666666666668</v>
      </c>
      <c r="AU10" s="176">
        <v>1557.7761927397332</v>
      </c>
      <c r="AV10" s="176">
        <v>2522.2344590990542</v>
      </c>
      <c r="AW10" s="176">
        <v>16900</v>
      </c>
      <c r="AX10" s="176">
        <v>13716.666666666666</v>
      </c>
      <c r="AY10" s="176">
        <v>3758.7231874667227</v>
      </c>
      <c r="AZ10" s="176">
        <v>4664.9401568151598</v>
      </c>
      <c r="BA10" s="176">
        <v>6733.333333333333</v>
      </c>
      <c r="BB10" s="177">
        <v>5100</v>
      </c>
      <c r="BC10" s="176">
        <v>1905.4308349207176</v>
      </c>
      <c r="BD10" s="176">
        <v>1385.6406460551018</v>
      </c>
      <c r="BE10" s="150" t="s">
        <v>132</v>
      </c>
      <c r="BF10" s="150" t="s">
        <v>132</v>
      </c>
      <c r="BG10" s="150" t="s">
        <v>132</v>
      </c>
      <c r="BH10" s="150" t="s">
        <v>132</v>
      </c>
      <c r="BI10" s="150" t="s">
        <v>132</v>
      </c>
      <c r="BJ10" s="150" t="s">
        <v>132</v>
      </c>
      <c r="BK10" s="150" t="s">
        <v>132</v>
      </c>
      <c r="BL10" s="150" t="s">
        <v>132</v>
      </c>
      <c r="BM10" s="167">
        <v>811.66666666666663</v>
      </c>
      <c r="BN10" s="167">
        <v>431.44051189264655</v>
      </c>
      <c r="BO10" s="176">
        <v>304.32986489443772</v>
      </c>
      <c r="BP10" s="176">
        <v>330.003118160523</v>
      </c>
      <c r="BQ10" s="176">
        <v>271.18549305555558</v>
      </c>
      <c r="BR10" s="176">
        <v>212.19866603223662</v>
      </c>
      <c r="BS10" s="176">
        <v>120.13478206876071</v>
      </c>
      <c r="BT10" s="176">
        <v>143.05207614161426</v>
      </c>
      <c r="BU10" s="176">
        <v>23350</v>
      </c>
      <c r="BV10" s="176">
        <v>14566.666666666666</v>
      </c>
      <c r="BW10" s="176">
        <v>5042.9158232118052</v>
      </c>
      <c r="BX10" s="176">
        <v>6264.396752015843</v>
      </c>
      <c r="BY10" s="176">
        <v>7416.666666666667</v>
      </c>
      <c r="BZ10" s="176">
        <v>6150</v>
      </c>
      <c r="CA10" s="176">
        <v>2523.0272821883364</v>
      </c>
      <c r="CB10" s="176">
        <v>2478.507615481542</v>
      </c>
      <c r="CC10" s="189">
        <v>1406.6666666666667</v>
      </c>
      <c r="CD10" s="189">
        <v>1453.3333333333333</v>
      </c>
      <c r="CE10" s="189">
        <v>376.0673698510239</v>
      </c>
      <c r="CF10" s="189">
        <v>516.59139236602346</v>
      </c>
      <c r="CG10" s="189">
        <v>4466.666666666667</v>
      </c>
      <c r="CH10" s="189">
        <v>3416.6666666666665</v>
      </c>
      <c r="CI10" s="189">
        <v>962.63527187957629</v>
      </c>
      <c r="CJ10" s="189">
        <v>1022.5784403490354</v>
      </c>
      <c r="CK10" s="189">
        <v>337.23612446007911</v>
      </c>
      <c r="CL10" s="189">
        <v>162.80704301770058</v>
      </c>
      <c r="CM10" s="189">
        <v>219.7357004754451</v>
      </c>
      <c r="CN10" s="189">
        <v>56.419079954431005</v>
      </c>
      <c r="CO10" s="189">
        <v>5066.666666666667</v>
      </c>
      <c r="CP10" s="189">
        <v>2720</v>
      </c>
      <c r="CQ10" s="189">
        <v>3096.2342719288326</v>
      </c>
      <c r="CR10" s="189">
        <v>1073.8342516422169</v>
      </c>
      <c r="CS10" s="189">
        <v>3316.6666666666665</v>
      </c>
      <c r="CT10" s="189">
        <v>3700</v>
      </c>
      <c r="CU10" s="189">
        <v>594.69880331699608</v>
      </c>
      <c r="CV10" s="189">
        <v>804.9844718999243</v>
      </c>
      <c r="CW10" s="189">
        <v>2105</v>
      </c>
      <c r="CX10" s="189">
        <v>1978.3333333333333</v>
      </c>
      <c r="CY10" s="189">
        <v>456.89167206242661</v>
      </c>
      <c r="CZ10" s="189">
        <v>383.47968220841432</v>
      </c>
      <c r="DA10" s="190" t="s">
        <v>132</v>
      </c>
      <c r="DB10" s="190" t="s">
        <v>132</v>
      </c>
      <c r="DC10" s="190" t="s">
        <v>132</v>
      </c>
      <c r="DD10" s="190" t="s">
        <v>132</v>
      </c>
      <c r="DE10" s="190" t="s">
        <v>132</v>
      </c>
      <c r="DF10" s="190" t="s">
        <v>132</v>
      </c>
      <c r="DG10" s="190" t="s">
        <v>132</v>
      </c>
      <c r="DH10" s="190" t="s">
        <v>132</v>
      </c>
    </row>
    <row r="11" spans="1:112">
      <c r="A11" s="150" t="s">
        <v>130</v>
      </c>
      <c r="B11" s="150">
        <v>6</v>
      </c>
      <c r="C11" s="150">
        <v>6</v>
      </c>
      <c r="D11" s="150" t="s">
        <v>231</v>
      </c>
      <c r="E11" s="150" t="s">
        <v>231</v>
      </c>
      <c r="F11" s="150">
        <v>63</v>
      </c>
      <c r="G11" s="150" t="s">
        <v>234</v>
      </c>
      <c r="H11" s="150" t="s">
        <v>136</v>
      </c>
      <c r="I11" s="150" t="s">
        <v>239</v>
      </c>
      <c r="J11" s="150" t="s">
        <v>239</v>
      </c>
      <c r="K11" s="150" t="s">
        <v>239</v>
      </c>
      <c r="L11" s="150" t="s">
        <v>283</v>
      </c>
      <c r="M11" s="150">
        <v>0</v>
      </c>
      <c r="N11" s="150">
        <v>31</v>
      </c>
      <c r="O11" s="150">
        <v>0</v>
      </c>
      <c r="P11" s="150">
        <v>15</v>
      </c>
      <c r="Q11" s="155">
        <v>0.97166666999999995</v>
      </c>
      <c r="R11" s="155">
        <v>1.3616667</v>
      </c>
      <c r="S11" s="155">
        <f>2.45*0.145909027974435</f>
        <v>0.3574771185373658</v>
      </c>
      <c r="T11" s="155">
        <f>2.45*0.228070408232</f>
        <v>0.55877250016840008</v>
      </c>
      <c r="U11" s="155">
        <v>0.26166666999999999</v>
      </c>
      <c r="V11" s="155">
        <v>0.53332999999999997</v>
      </c>
      <c r="W11" s="155">
        <f>2.45*0.0177795138041261</f>
        <v>4.3559808820108945E-2</v>
      </c>
      <c r="X11" s="155">
        <f>2.45*0.11295033323447</f>
        <v>0.2767283164244515</v>
      </c>
      <c r="Y11" s="150">
        <v>4717</v>
      </c>
      <c r="Z11" s="150">
        <v>5867</v>
      </c>
      <c r="AA11" s="156">
        <f>2.45*256.146659379175</f>
        <v>627.55931547897876</v>
      </c>
      <c r="AB11" s="156">
        <f>2.45*382.680603695098</f>
        <v>937.56747905299017</v>
      </c>
      <c r="AC11" s="150">
        <v>3783</v>
      </c>
      <c r="AD11" s="150">
        <v>4017</v>
      </c>
      <c r="AE11" s="156">
        <f>2.45*280.97054017182</f>
        <v>688.37782342095909</v>
      </c>
      <c r="AF11" s="156">
        <f>2.45*292.593764648379</f>
        <v>716.85472338852867</v>
      </c>
      <c r="AG11" s="150">
        <v>48</v>
      </c>
      <c r="AH11" s="150">
        <v>50</v>
      </c>
      <c r="AI11" s="156">
        <f>2.45*6.02824067873378</f>
        <v>14.769189662897761</v>
      </c>
      <c r="AJ11" s="156">
        <f>2.45*5.48853065827269</f>
        <v>13.446900112768091</v>
      </c>
      <c r="AK11" s="157">
        <v>132.75403535022392</v>
      </c>
      <c r="AL11" s="157">
        <v>264.23737311093248</v>
      </c>
      <c r="AM11" s="156">
        <f>2.45*18.9435734827792</f>
        <v>46.411755032809047</v>
      </c>
      <c r="AN11" s="156">
        <f>2.45*29.3563236761228</f>
        <v>71.92299300650086</v>
      </c>
      <c r="AO11" s="176">
        <v>29166.666666666668</v>
      </c>
      <c r="AP11" s="176">
        <v>27833.333333333332</v>
      </c>
      <c r="AQ11" s="176">
        <v>4262.2372841814667</v>
      </c>
      <c r="AR11" s="176">
        <v>5036.5331992022648</v>
      </c>
      <c r="AS11" s="176">
        <v>26333.333333333332</v>
      </c>
      <c r="AT11" s="176">
        <v>21416.666666666668</v>
      </c>
      <c r="AU11" s="176">
        <v>2250.9257354845581</v>
      </c>
      <c r="AV11" s="176">
        <v>2538.0438661825169</v>
      </c>
      <c r="AW11" s="176">
        <v>16066.666666666666</v>
      </c>
      <c r="AX11" s="176">
        <v>15033.333333333334</v>
      </c>
      <c r="AY11" s="176">
        <v>4466.1691265184581</v>
      </c>
      <c r="AZ11" s="176">
        <v>1594.5741333242086</v>
      </c>
      <c r="BA11" s="177">
        <v>8400</v>
      </c>
      <c r="BB11" s="176">
        <v>8083.333333333333</v>
      </c>
      <c r="BC11" s="176">
        <v>1093.6178491593853</v>
      </c>
      <c r="BD11" s="176">
        <v>1430.2680401472526</v>
      </c>
      <c r="BE11" s="150" t="s">
        <v>132</v>
      </c>
      <c r="BF11" s="150" t="s">
        <v>132</v>
      </c>
      <c r="BG11" s="150" t="s">
        <v>132</v>
      </c>
      <c r="BH11" s="150" t="s">
        <v>132</v>
      </c>
      <c r="BI11" s="150" t="s">
        <v>132</v>
      </c>
      <c r="BJ11" s="150" t="s">
        <v>132</v>
      </c>
      <c r="BK11" s="150" t="s">
        <v>132</v>
      </c>
      <c r="BL11" s="150" t="s">
        <v>132</v>
      </c>
      <c r="BM11" s="167">
        <v>71.245909938363454</v>
      </c>
      <c r="BN11" s="167">
        <v>75.007351535764826</v>
      </c>
      <c r="BO11" s="176">
        <v>27.39123204274501</v>
      </c>
      <c r="BP11" s="176">
        <v>20.533886256588303</v>
      </c>
      <c r="BQ11" s="176">
        <v>98.372945527852536</v>
      </c>
      <c r="BR11" s="176">
        <v>173.77178831625483</v>
      </c>
      <c r="BS11" s="176">
        <v>33.190434467302914</v>
      </c>
      <c r="BT11" s="176">
        <v>77.068498132327022</v>
      </c>
      <c r="BU11" s="176">
        <v>5000</v>
      </c>
      <c r="BV11" s="176">
        <v>4716.666666666667</v>
      </c>
      <c r="BW11" s="176">
        <v>918.69472622846808</v>
      </c>
      <c r="BX11" s="176">
        <v>563.61925682739559</v>
      </c>
      <c r="BY11" s="176">
        <v>4466.666666666667</v>
      </c>
      <c r="BZ11" s="176">
        <v>3833.3333333333335</v>
      </c>
      <c r="CA11" s="176">
        <v>796.6596931354477</v>
      </c>
      <c r="CB11" s="176">
        <v>516.3977794943213</v>
      </c>
      <c r="CC11" s="189">
        <v>1423.3333333333333</v>
      </c>
      <c r="CD11" s="189">
        <v>1445</v>
      </c>
      <c r="CE11" s="189">
        <v>360.4811599330356</v>
      </c>
      <c r="CF11" s="189">
        <v>533.6571933366962</v>
      </c>
      <c r="CG11" s="189">
        <v>1943.3333333333333</v>
      </c>
      <c r="CH11" s="189">
        <v>2073.3333333333335</v>
      </c>
      <c r="CI11" s="189">
        <v>559.0945060243987</v>
      </c>
      <c r="CJ11" s="189">
        <v>523.74293949099342</v>
      </c>
      <c r="CK11" s="189">
        <v>263.35208209393346</v>
      </c>
      <c r="CL11" s="189">
        <v>227.96382957050994</v>
      </c>
      <c r="CM11" s="189">
        <v>101.89660948060427</v>
      </c>
      <c r="CN11" s="189">
        <v>58.202481082179155</v>
      </c>
      <c r="CO11" s="189">
        <v>3076.6666666666665</v>
      </c>
      <c r="CP11" s="189">
        <v>5720</v>
      </c>
      <c r="CQ11" s="189">
        <v>1839.224474246324</v>
      </c>
      <c r="CR11" s="189">
        <v>2920.4109299891343</v>
      </c>
      <c r="CS11" s="189">
        <v>3013.3333333333335</v>
      </c>
      <c r="CT11" s="189">
        <v>3383.3333333333335</v>
      </c>
      <c r="CU11" s="189">
        <v>942.05449240830399</v>
      </c>
      <c r="CV11" s="189">
        <v>360.09258068816922</v>
      </c>
      <c r="CW11" s="189">
        <v>2416.6666666666665</v>
      </c>
      <c r="CX11" s="189">
        <v>2380</v>
      </c>
      <c r="CY11" s="189">
        <v>524.62049775687103</v>
      </c>
      <c r="CZ11" s="189">
        <v>429.88370520409353</v>
      </c>
      <c r="DA11" s="190" t="s">
        <v>132</v>
      </c>
      <c r="DB11" s="190" t="s">
        <v>132</v>
      </c>
      <c r="DC11" s="190" t="s">
        <v>132</v>
      </c>
      <c r="DD11" s="190" t="s">
        <v>132</v>
      </c>
      <c r="DE11" s="190" t="s">
        <v>132</v>
      </c>
      <c r="DF11" s="190" t="s">
        <v>132</v>
      </c>
      <c r="DG11" s="190" t="s">
        <v>132</v>
      </c>
      <c r="DH11" s="190" t="s">
        <v>132</v>
      </c>
    </row>
    <row r="12" spans="1:112">
      <c r="A12" s="150" t="s">
        <v>130</v>
      </c>
      <c r="B12" s="150">
        <v>6</v>
      </c>
      <c r="C12" s="150">
        <v>6</v>
      </c>
      <c r="D12" s="150" t="s">
        <v>231</v>
      </c>
      <c r="E12" s="150" t="s">
        <v>231</v>
      </c>
      <c r="F12" s="150">
        <v>63</v>
      </c>
      <c r="G12" s="150" t="s">
        <v>234</v>
      </c>
      <c r="H12" s="150" t="s">
        <v>136</v>
      </c>
      <c r="I12" s="150" t="s">
        <v>239</v>
      </c>
      <c r="J12" s="150" t="s">
        <v>239</v>
      </c>
      <c r="K12" s="150" t="s">
        <v>239</v>
      </c>
      <c r="L12" s="150" t="s">
        <v>283</v>
      </c>
      <c r="M12" s="150">
        <v>1</v>
      </c>
      <c r="N12" s="150">
        <v>24</v>
      </c>
      <c r="O12" s="150">
        <v>0</v>
      </c>
      <c r="P12" s="150">
        <v>22</v>
      </c>
      <c r="Q12" s="155">
        <v>4.5549999999999997</v>
      </c>
      <c r="R12" s="155">
        <v>4.0199999999999996</v>
      </c>
      <c r="S12" s="155">
        <f>2.45*0.580745210914391</f>
        <v>1.4228257667402582</v>
      </c>
      <c r="T12" s="155">
        <f>2.45*0.465739555259518</f>
        <v>1.1410619103858191</v>
      </c>
      <c r="U12" s="155">
        <v>2.1349999999999998</v>
      </c>
      <c r="V12" s="155">
        <v>1.5</v>
      </c>
      <c r="W12" s="155">
        <f>2.45*0.318724018548964</f>
        <v>0.78087384544496186</v>
      </c>
      <c r="X12" s="155">
        <f>2.45*0.30862058691323</f>
        <v>0.75612043793741357</v>
      </c>
      <c r="Y12" s="150">
        <v>6250</v>
      </c>
      <c r="Z12" s="150">
        <v>6100</v>
      </c>
      <c r="AA12" s="156">
        <f>2.45*405.585995813465</f>
        <v>993.68568974298933</v>
      </c>
      <c r="AB12" s="156">
        <f>2.45*432.820209016785</f>
        <v>1060.4095120911234</v>
      </c>
      <c r="AC12" s="150">
        <v>5067</v>
      </c>
      <c r="AD12" s="150">
        <v>5250</v>
      </c>
      <c r="AE12" s="156">
        <f>2.45*598.145281497546</f>
        <v>1465.4559396689876</v>
      </c>
      <c r="AF12" s="156">
        <f>2.45*624.366345452198</f>
        <v>1529.6975463578851</v>
      </c>
      <c r="AG12" s="150">
        <v>53</v>
      </c>
      <c r="AH12" s="150">
        <v>47</v>
      </c>
      <c r="AI12" s="156">
        <f>2.45*5.74277720125102</f>
        <v>14.069804143064999</v>
      </c>
      <c r="AJ12" s="156">
        <f>2.45*2.56663429281192</f>
        <v>6.288254017389205</v>
      </c>
      <c r="AK12" s="157">
        <v>100.81292192777818</v>
      </c>
      <c r="AL12" s="157">
        <v>196.50266519420691</v>
      </c>
      <c r="AM12" s="156">
        <f>2.45*11.5687537798132</f>
        <v>28.343446760542342</v>
      </c>
      <c r="AN12" s="156">
        <f>2.45*33.9285478985814</f>
        <v>83.124942351524439</v>
      </c>
      <c r="AO12" s="176">
        <v>28000</v>
      </c>
      <c r="AP12" s="176">
        <v>30166.666666666668</v>
      </c>
      <c r="AQ12" s="176">
        <v>4898.9794855663558</v>
      </c>
      <c r="AR12" s="176">
        <v>6177.9176642835409</v>
      </c>
      <c r="AS12" s="176">
        <v>10433.333333333334</v>
      </c>
      <c r="AT12" s="176">
        <v>10566.666666666666</v>
      </c>
      <c r="AU12" s="176">
        <v>3277.6007485150894</v>
      </c>
      <c r="AV12" s="176">
        <v>6462.404093421168</v>
      </c>
      <c r="AW12" s="176">
        <v>12683.333333333334</v>
      </c>
      <c r="AX12" s="176">
        <v>11450</v>
      </c>
      <c r="AY12" s="176">
        <v>1931.2344929258784</v>
      </c>
      <c r="AZ12" s="176">
        <v>806.84571015777237</v>
      </c>
      <c r="BA12" s="177">
        <v>7000</v>
      </c>
      <c r="BB12" s="176">
        <v>8383.3333333333339</v>
      </c>
      <c r="BC12" s="176">
        <v>1681.6658407662326</v>
      </c>
      <c r="BD12" s="176">
        <v>3028.1457472629454</v>
      </c>
      <c r="BE12" s="150" t="s">
        <v>132</v>
      </c>
      <c r="BF12" s="150" t="s">
        <v>132</v>
      </c>
      <c r="BG12" s="150" t="s">
        <v>132</v>
      </c>
      <c r="BH12" s="150" t="s">
        <v>132</v>
      </c>
      <c r="BI12" s="150" t="s">
        <v>132</v>
      </c>
      <c r="BJ12" s="150" t="s">
        <v>132</v>
      </c>
      <c r="BK12" s="150" t="s">
        <v>132</v>
      </c>
      <c r="BL12" s="150" t="s">
        <v>132</v>
      </c>
      <c r="BM12" s="167">
        <v>117.72136591771151</v>
      </c>
      <c r="BN12" s="167">
        <v>80.083838853176928</v>
      </c>
      <c r="BO12" s="176">
        <v>38.428698458090338</v>
      </c>
      <c r="BP12" s="176">
        <v>25.384694874818148</v>
      </c>
      <c r="BQ12" s="176">
        <v>199.62834099956089</v>
      </c>
      <c r="BR12" s="176">
        <v>202.39653988421696</v>
      </c>
      <c r="BS12" s="176">
        <v>33.865167587158531</v>
      </c>
      <c r="BT12" s="176">
        <v>35.976725291918797</v>
      </c>
      <c r="BU12" s="176">
        <v>5816.666666666667</v>
      </c>
      <c r="BV12" s="176">
        <v>5666.666666666667</v>
      </c>
      <c r="BW12" s="176">
        <v>601.38728508895883</v>
      </c>
      <c r="BX12" s="176">
        <v>939.50341493081794</v>
      </c>
      <c r="BY12" s="176">
        <v>5433.333333333333</v>
      </c>
      <c r="BZ12" s="176">
        <v>6183.333333333333</v>
      </c>
      <c r="CA12" s="176">
        <v>1081.9735055289796</v>
      </c>
      <c r="CB12" s="176">
        <v>1271.875255937731</v>
      </c>
      <c r="CC12" s="189">
        <v>1780</v>
      </c>
      <c r="CD12" s="189">
        <v>2643.3333333333335</v>
      </c>
      <c r="CE12" s="189">
        <v>731.7923202657978</v>
      </c>
      <c r="CF12" s="189">
        <v>1178.9599936667348</v>
      </c>
      <c r="CG12" s="189">
        <v>3983.3333333333335</v>
      </c>
      <c r="CH12" s="189">
        <v>5300</v>
      </c>
      <c r="CI12" s="189">
        <v>778.24589087682671</v>
      </c>
      <c r="CJ12" s="189">
        <v>1384.1965178398623</v>
      </c>
      <c r="CK12" s="189">
        <v>158.66702778098653</v>
      </c>
      <c r="CL12" s="189">
        <v>122.3674358482062</v>
      </c>
      <c r="CM12" s="189">
        <v>46.853900538136855</v>
      </c>
      <c r="CN12" s="189">
        <v>30.803703964449173</v>
      </c>
      <c r="CO12" s="189">
        <v>6516.666666666667</v>
      </c>
      <c r="CP12" s="189">
        <v>5700</v>
      </c>
      <c r="CQ12" s="189">
        <v>2299.0577780183494</v>
      </c>
      <c r="CR12" s="189">
        <v>2437.2115213907882</v>
      </c>
      <c r="CS12" s="189">
        <v>2368.3333333333335</v>
      </c>
      <c r="CT12" s="189">
        <v>2500</v>
      </c>
      <c r="CU12" s="189">
        <v>497.61095915048651</v>
      </c>
      <c r="CV12" s="189">
        <v>357.77087639996637</v>
      </c>
      <c r="CW12" s="189">
        <v>2085</v>
      </c>
      <c r="CX12" s="189">
        <v>2916.6666666666665</v>
      </c>
      <c r="CY12" s="189">
        <v>385.11037378912556</v>
      </c>
      <c r="CZ12" s="189">
        <v>754.7626558506106</v>
      </c>
      <c r="DA12" s="190" t="s">
        <v>132</v>
      </c>
      <c r="DB12" s="190" t="s">
        <v>132</v>
      </c>
      <c r="DC12" s="190" t="s">
        <v>132</v>
      </c>
      <c r="DD12" s="190" t="s">
        <v>132</v>
      </c>
      <c r="DE12" s="190" t="s">
        <v>132</v>
      </c>
      <c r="DF12" s="190" t="s">
        <v>132</v>
      </c>
      <c r="DG12" s="190" t="s">
        <v>132</v>
      </c>
      <c r="DH12" s="190" t="s">
        <v>132</v>
      </c>
    </row>
    <row r="13" spans="1:112">
      <c r="A13" s="150" t="s">
        <v>130</v>
      </c>
      <c r="B13" s="150">
        <v>6</v>
      </c>
      <c r="C13" s="150">
        <v>6</v>
      </c>
      <c r="D13" s="150" t="s">
        <v>231</v>
      </c>
      <c r="E13" s="150" t="s">
        <v>231</v>
      </c>
      <c r="F13" s="150">
        <v>63</v>
      </c>
      <c r="G13" s="150" t="s">
        <v>234</v>
      </c>
      <c r="H13" s="150" t="s">
        <v>136</v>
      </c>
      <c r="I13" s="150" t="s">
        <v>239</v>
      </c>
      <c r="J13" s="150" t="s">
        <v>239</v>
      </c>
      <c r="K13" s="150" t="s">
        <v>240</v>
      </c>
      <c r="L13" s="150" t="s">
        <v>284</v>
      </c>
      <c r="M13" s="150">
        <v>0</v>
      </c>
      <c r="N13" s="150">
        <v>16</v>
      </c>
      <c r="O13" s="150">
        <v>0</v>
      </c>
      <c r="P13" s="150">
        <v>10</v>
      </c>
      <c r="Q13" s="155">
        <v>1.7350000000000001</v>
      </c>
      <c r="R13" s="155">
        <v>2.3383332999999999</v>
      </c>
      <c r="S13" s="155">
        <f>2.45*0.234616708697398</f>
        <v>0.57481093630862512</v>
      </c>
      <c r="T13" s="155">
        <f>2.45*0.24216270930467</f>
        <v>0.59329863779644154</v>
      </c>
      <c r="U13" s="155">
        <v>0.53</v>
      </c>
      <c r="V13" s="155">
        <v>0.94333299999999998</v>
      </c>
      <c r="W13" s="155">
        <f>2.45*0.0952540462832594</f>
        <v>0.23337241339398554</v>
      </c>
      <c r="X13" s="155">
        <f>2.45*0.190921740802642</f>
        <v>0.46775826496647288</v>
      </c>
      <c r="Y13" s="150">
        <v>4217</v>
      </c>
      <c r="Z13" s="150">
        <v>3967</v>
      </c>
      <c r="AA13" s="156">
        <f>2.45*443.784231856478</f>
        <v>1087.2713680483712</v>
      </c>
      <c r="AB13" s="156">
        <f>2.45*138.242942355518</f>
        <v>338.69520877101917</v>
      </c>
      <c r="AC13" s="150">
        <v>3633</v>
      </c>
      <c r="AD13" s="150">
        <v>3317</v>
      </c>
      <c r="AE13" s="156">
        <f>2.45*448.454134902457</f>
        <v>1098.7126305110196</v>
      </c>
      <c r="AF13" s="156">
        <f>2.45*311.35902820449</f>
        <v>762.82961910100062</v>
      </c>
      <c r="AG13" s="150">
        <v>24</v>
      </c>
      <c r="AH13" s="150">
        <v>30</v>
      </c>
      <c r="AI13" s="156">
        <f>2.45*1.23428991288098</f>
        <v>3.0240102865584011</v>
      </c>
      <c r="AJ13" s="156">
        <f>2.45*4.19070521091098</f>
        <v>10.267227766731901</v>
      </c>
      <c r="AK13" s="157">
        <v>63.794866922325212</v>
      </c>
      <c r="AL13" s="157">
        <v>208.90762684548403</v>
      </c>
      <c r="AM13" s="156">
        <f>2.45*9.87471804582241</f>
        <v>24.193059212264906</v>
      </c>
      <c r="AN13" s="156">
        <f>2.45*24.1691584477728</f>
        <v>59.214438197043371</v>
      </c>
      <c r="AO13" s="176">
        <v>34500</v>
      </c>
      <c r="AP13" s="176">
        <v>30833.333333333332</v>
      </c>
      <c r="AQ13" s="176">
        <v>4230.8391602612355</v>
      </c>
      <c r="AR13" s="176">
        <v>4119.0613817551448</v>
      </c>
      <c r="AS13" s="176">
        <v>23583.333333333332</v>
      </c>
      <c r="AT13" s="176">
        <v>25083.333333333332</v>
      </c>
      <c r="AU13" s="176">
        <v>5225.4824338683502</v>
      </c>
      <c r="AV13" s="176">
        <v>5953.2904067134759</v>
      </c>
      <c r="AW13" s="176">
        <v>14216.666666666666</v>
      </c>
      <c r="AX13" s="176">
        <v>13766.666666666666</v>
      </c>
      <c r="AY13" s="176">
        <v>2769.416304325995</v>
      </c>
      <c r="AZ13" s="176">
        <v>1746.6157753400289</v>
      </c>
      <c r="BA13" s="177">
        <v>7700</v>
      </c>
      <c r="BB13" s="177">
        <v>8150</v>
      </c>
      <c r="BC13" s="176">
        <v>1317.5735273600483</v>
      </c>
      <c r="BD13" s="176">
        <v>811.7881497040961</v>
      </c>
      <c r="BE13" s="150" t="s">
        <v>132</v>
      </c>
      <c r="BF13" s="150" t="s">
        <v>132</v>
      </c>
      <c r="BG13" s="150" t="s">
        <v>132</v>
      </c>
      <c r="BH13" s="150" t="s">
        <v>132</v>
      </c>
      <c r="BI13" s="150" t="s">
        <v>132</v>
      </c>
      <c r="BJ13" s="150" t="s">
        <v>132</v>
      </c>
      <c r="BK13" s="150" t="s">
        <v>132</v>
      </c>
      <c r="BL13" s="150" t="s">
        <v>132</v>
      </c>
      <c r="BM13" s="167">
        <v>214.27799077134569</v>
      </c>
      <c r="BN13" s="167">
        <v>198.89143777148084</v>
      </c>
      <c r="BO13" s="176">
        <v>86.654448217376398</v>
      </c>
      <c r="BP13" s="176">
        <v>109.82742113331867</v>
      </c>
      <c r="BQ13" s="177">
        <v>430</v>
      </c>
      <c r="BR13" s="177">
        <v>395</v>
      </c>
      <c r="BS13" s="176">
        <v>127.59310326189265</v>
      </c>
      <c r="BT13" s="176">
        <v>107.8424777163433</v>
      </c>
      <c r="BU13" s="176">
        <v>3416.6666666666665</v>
      </c>
      <c r="BV13" s="176">
        <v>3000</v>
      </c>
      <c r="BW13" s="176">
        <v>519.29439306299628</v>
      </c>
      <c r="BX13" s="176">
        <v>352.1363372331802</v>
      </c>
      <c r="BY13" s="176">
        <v>2675</v>
      </c>
      <c r="BZ13" s="176">
        <v>2733.3333333333335</v>
      </c>
      <c r="CA13" s="176">
        <v>589.70331523572088</v>
      </c>
      <c r="CB13" s="176">
        <v>377.71241264574184</v>
      </c>
      <c r="CC13" s="189">
        <v>600</v>
      </c>
      <c r="CD13" s="189">
        <v>460</v>
      </c>
      <c r="CE13" s="189">
        <v>215.87033144922904</v>
      </c>
      <c r="CF13" s="189">
        <v>123.61229712289955</v>
      </c>
      <c r="CG13" s="189">
        <v>678.33333333333337</v>
      </c>
      <c r="CH13" s="189">
        <v>820</v>
      </c>
      <c r="CI13" s="189">
        <v>152.50136611409977</v>
      </c>
      <c r="CJ13" s="189">
        <v>235.79652245103193</v>
      </c>
      <c r="CK13" s="189">
        <v>182.57166601534686</v>
      </c>
      <c r="CL13" s="189">
        <v>184.26292876786809</v>
      </c>
      <c r="CM13" s="189">
        <v>36.342134325239662</v>
      </c>
      <c r="CN13" s="189">
        <v>96.781888844159496</v>
      </c>
      <c r="CO13" s="189">
        <v>12933.333333333334</v>
      </c>
      <c r="CP13" s="189">
        <v>17300</v>
      </c>
      <c r="CQ13" s="189">
        <v>7740.4564895532276</v>
      </c>
      <c r="CR13" s="189">
        <v>9358.204956079986</v>
      </c>
      <c r="CS13" s="189">
        <v>3700</v>
      </c>
      <c r="CT13" s="189">
        <v>3750</v>
      </c>
      <c r="CU13" s="189">
        <v>609.91802727907623</v>
      </c>
      <c r="CV13" s="189">
        <v>423.08391602612357</v>
      </c>
      <c r="CW13" s="189">
        <v>2546.6666666666665</v>
      </c>
      <c r="CX13" s="189">
        <v>2580</v>
      </c>
      <c r="CY13" s="189">
        <v>581.26299268632886</v>
      </c>
      <c r="CZ13" s="189">
        <v>500.39984012787215</v>
      </c>
      <c r="DA13" s="190" t="s">
        <v>132</v>
      </c>
      <c r="DB13" s="190" t="s">
        <v>132</v>
      </c>
      <c r="DC13" s="190" t="s">
        <v>132</v>
      </c>
      <c r="DD13" s="190" t="s">
        <v>132</v>
      </c>
      <c r="DE13" s="190" t="s">
        <v>132</v>
      </c>
      <c r="DF13" s="190" t="s">
        <v>132</v>
      </c>
      <c r="DG13" s="190" t="s">
        <v>132</v>
      </c>
      <c r="DH13" s="190" t="s">
        <v>132</v>
      </c>
    </row>
    <row r="14" spans="1:112">
      <c r="A14" s="150" t="s">
        <v>131</v>
      </c>
      <c r="B14" s="150">
        <v>3</v>
      </c>
      <c r="C14" s="150">
        <v>3</v>
      </c>
      <c r="D14" s="150" t="s">
        <v>233</v>
      </c>
      <c r="E14" s="150" t="s">
        <v>228</v>
      </c>
      <c r="F14" s="150">
        <v>58</v>
      </c>
      <c r="G14" s="150" t="s">
        <v>234</v>
      </c>
      <c r="H14" s="150" t="s">
        <v>136</v>
      </c>
      <c r="I14" s="150" t="s">
        <v>132</v>
      </c>
      <c r="J14" s="150" t="s">
        <v>132</v>
      </c>
      <c r="K14" s="150" t="s">
        <v>132</v>
      </c>
      <c r="L14" s="150" t="s">
        <v>284</v>
      </c>
      <c r="M14" s="150" t="s">
        <v>132</v>
      </c>
      <c r="N14" s="150">
        <v>76</v>
      </c>
      <c r="O14" s="150" t="s">
        <v>132</v>
      </c>
      <c r="P14" s="150">
        <f>N14/10</f>
        <v>7.6</v>
      </c>
      <c r="Q14" s="150" t="s">
        <v>132</v>
      </c>
      <c r="R14" s="150" t="s">
        <v>132</v>
      </c>
      <c r="S14" s="150" t="s">
        <v>132</v>
      </c>
      <c r="T14" s="150" t="s">
        <v>132</v>
      </c>
      <c r="U14" s="150" t="s">
        <v>132</v>
      </c>
      <c r="V14" s="150" t="s">
        <v>132</v>
      </c>
      <c r="W14" s="150" t="s">
        <v>132</v>
      </c>
      <c r="X14" s="150" t="s">
        <v>132</v>
      </c>
      <c r="Y14" s="150" t="s">
        <v>132</v>
      </c>
      <c r="Z14" s="150" t="s">
        <v>132</v>
      </c>
      <c r="AA14" s="150" t="s">
        <v>132</v>
      </c>
      <c r="AB14" s="150" t="s">
        <v>132</v>
      </c>
      <c r="AC14" s="150" t="s">
        <v>132</v>
      </c>
      <c r="AD14" s="150" t="s">
        <v>132</v>
      </c>
      <c r="AE14" s="150" t="s">
        <v>132</v>
      </c>
      <c r="AF14" s="150" t="s">
        <v>132</v>
      </c>
      <c r="AG14" s="150" t="s">
        <v>132</v>
      </c>
      <c r="AH14" s="150" t="s">
        <v>132</v>
      </c>
      <c r="AI14" s="150" t="s">
        <v>132</v>
      </c>
      <c r="AJ14" s="150" t="s">
        <v>132</v>
      </c>
      <c r="AK14" s="150" t="s">
        <v>132</v>
      </c>
      <c r="AL14" s="150" t="s">
        <v>132</v>
      </c>
      <c r="AM14" s="150" t="s">
        <v>132</v>
      </c>
      <c r="AN14" s="150" t="s">
        <v>132</v>
      </c>
      <c r="AO14" s="150" t="s">
        <v>132</v>
      </c>
      <c r="AP14" s="150" t="s">
        <v>132</v>
      </c>
      <c r="AQ14" s="150" t="s">
        <v>132</v>
      </c>
      <c r="AR14" s="150" t="s">
        <v>132</v>
      </c>
      <c r="AS14" s="150" t="s">
        <v>132</v>
      </c>
      <c r="AT14" s="150" t="s">
        <v>132</v>
      </c>
      <c r="AU14" s="150" t="s">
        <v>132</v>
      </c>
      <c r="AV14" s="150" t="s">
        <v>132</v>
      </c>
      <c r="AW14" s="150" t="s">
        <v>132</v>
      </c>
      <c r="AX14" s="150" t="s">
        <v>132</v>
      </c>
      <c r="AY14" s="150" t="s">
        <v>132</v>
      </c>
      <c r="AZ14" s="150" t="s">
        <v>132</v>
      </c>
      <c r="BA14" s="150" t="s">
        <v>132</v>
      </c>
      <c r="BB14" s="150" t="s">
        <v>132</v>
      </c>
      <c r="BC14" s="150" t="s">
        <v>132</v>
      </c>
      <c r="BD14" s="150" t="s">
        <v>132</v>
      </c>
      <c r="BE14" s="150" t="s">
        <v>132</v>
      </c>
      <c r="BF14" s="150" t="s">
        <v>132</v>
      </c>
      <c r="BG14" s="150" t="s">
        <v>132</v>
      </c>
      <c r="BH14" s="150" t="s">
        <v>132</v>
      </c>
      <c r="BI14" s="150" t="s">
        <v>132</v>
      </c>
      <c r="BJ14" s="150" t="s">
        <v>132</v>
      </c>
      <c r="BK14" s="150" t="s">
        <v>132</v>
      </c>
      <c r="BL14" s="150" t="s">
        <v>132</v>
      </c>
      <c r="BM14" s="150" t="s">
        <v>132</v>
      </c>
      <c r="BN14" s="150" t="s">
        <v>132</v>
      </c>
      <c r="BO14" s="150" t="s">
        <v>132</v>
      </c>
      <c r="BP14" s="150" t="s">
        <v>132</v>
      </c>
      <c r="BQ14" s="150" t="s">
        <v>132</v>
      </c>
      <c r="BR14" s="150" t="s">
        <v>132</v>
      </c>
      <c r="BS14" s="150" t="s">
        <v>132</v>
      </c>
      <c r="BT14" s="150" t="s">
        <v>132</v>
      </c>
      <c r="BU14" s="150" t="s">
        <v>132</v>
      </c>
      <c r="BV14" s="150" t="s">
        <v>132</v>
      </c>
      <c r="BW14" s="150" t="s">
        <v>132</v>
      </c>
      <c r="BX14" s="150" t="s">
        <v>132</v>
      </c>
      <c r="BY14" s="150" t="s">
        <v>132</v>
      </c>
      <c r="BZ14" s="150" t="s">
        <v>132</v>
      </c>
      <c r="CA14" s="150" t="s">
        <v>132</v>
      </c>
      <c r="CB14" s="150" t="s">
        <v>132</v>
      </c>
      <c r="CC14" s="190" t="s">
        <v>132</v>
      </c>
      <c r="CD14" s="190" t="s">
        <v>132</v>
      </c>
      <c r="CE14" s="190" t="s">
        <v>132</v>
      </c>
      <c r="CF14" s="190" t="s">
        <v>132</v>
      </c>
      <c r="CG14" s="190" t="s">
        <v>132</v>
      </c>
      <c r="CH14" s="190" t="s">
        <v>132</v>
      </c>
      <c r="CI14" s="190" t="s">
        <v>132</v>
      </c>
      <c r="CJ14" s="190" t="s">
        <v>132</v>
      </c>
      <c r="CK14" s="190" t="s">
        <v>132</v>
      </c>
      <c r="CL14" s="190" t="s">
        <v>132</v>
      </c>
      <c r="CM14" s="190" t="s">
        <v>132</v>
      </c>
      <c r="CN14" s="190" t="s">
        <v>132</v>
      </c>
      <c r="CO14" s="190" t="s">
        <v>132</v>
      </c>
      <c r="CP14" s="190" t="s">
        <v>132</v>
      </c>
      <c r="CQ14" s="190" t="s">
        <v>132</v>
      </c>
      <c r="CR14" s="190" t="s">
        <v>132</v>
      </c>
      <c r="CS14" s="190" t="s">
        <v>132</v>
      </c>
      <c r="CT14" s="190" t="s">
        <v>132</v>
      </c>
      <c r="CU14" s="190" t="s">
        <v>132</v>
      </c>
      <c r="CV14" s="190" t="s">
        <v>132</v>
      </c>
      <c r="CW14" s="190" t="s">
        <v>132</v>
      </c>
      <c r="CX14" s="190" t="s">
        <v>132</v>
      </c>
      <c r="CY14" s="190" t="s">
        <v>132</v>
      </c>
      <c r="CZ14" s="190" t="s">
        <v>132</v>
      </c>
      <c r="DA14" s="190" t="s">
        <v>132</v>
      </c>
      <c r="DB14" s="190" t="s">
        <v>132</v>
      </c>
      <c r="DC14" s="190" t="s">
        <v>132</v>
      </c>
      <c r="DD14" s="190" t="s">
        <v>132</v>
      </c>
      <c r="DE14" s="190" t="s">
        <v>132</v>
      </c>
      <c r="DF14" s="190" t="s">
        <v>132</v>
      </c>
      <c r="DG14" s="190" t="s">
        <v>132</v>
      </c>
      <c r="DH14" s="190" t="s">
        <v>132</v>
      </c>
    </row>
    <row r="15" spans="1:112">
      <c r="A15" s="150" t="s">
        <v>131</v>
      </c>
      <c r="B15" s="150">
        <v>3</v>
      </c>
      <c r="C15" s="150">
        <v>3</v>
      </c>
      <c r="D15" s="150" t="s">
        <v>233</v>
      </c>
      <c r="E15" s="150" t="s">
        <v>229</v>
      </c>
      <c r="F15" s="150">
        <v>58</v>
      </c>
      <c r="G15" s="150" t="s">
        <v>234</v>
      </c>
      <c r="H15" s="150" t="s">
        <v>136</v>
      </c>
      <c r="I15" s="150" t="s">
        <v>132</v>
      </c>
      <c r="J15" s="150" t="s">
        <v>132</v>
      </c>
      <c r="K15" s="150" t="s">
        <v>132</v>
      </c>
      <c r="L15" s="150" t="s">
        <v>284</v>
      </c>
      <c r="M15" s="150" t="s">
        <v>132</v>
      </c>
      <c r="N15" s="150">
        <v>47</v>
      </c>
      <c r="O15" s="150" t="s">
        <v>132</v>
      </c>
      <c r="P15" s="150">
        <f t="shared" ref="P15:P19" si="0">N15/10</f>
        <v>4.7</v>
      </c>
      <c r="Q15" s="150" t="s">
        <v>132</v>
      </c>
      <c r="R15" s="150" t="s">
        <v>132</v>
      </c>
      <c r="S15" s="150" t="s">
        <v>132</v>
      </c>
      <c r="T15" s="150" t="s">
        <v>132</v>
      </c>
      <c r="U15" s="150" t="s">
        <v>132</v>
      </c>
      <c r="V15" s="150" t="s">
        <v>132</v>
      </c>
      <c r="W15" s="150" t="s">
        <v>132</v>
      </c>
      <c r="X15" s="150" t="s">
        <v>132</v>
      </c>
      <c r="Y15" s="150" t="s">
        <v>132</v>
      </c>
      <c r="Z15" s="150" t="s">
        <v>132</v>
      </c>
      <c r="AA15" s="150" t="s">
        <v>132</v>
      </c>
      <c r="AB15" s="150" t="s">
        <v>132</v>
      </c>
      <c r="AC15" s="150" t="s">
        <v>132</v>
      </c>
      <c r="AD15" s="150" t="s">
        <v>132</v>
      </c>
      <c r="AE15" s="150" t="s">
        <v>132</v>
      </c>
      <c r="AF15" s="150" t="s">
        <v>132</v>
      </c>
      <c r="AG15" s="150" t="s">
        <v>132</v>
      </c>
      <c r="AH15" s="150" t="s">
        <v>132</v>
      </c>
      <c r="AI15" s="150" t="s">
        <v>132</v>
      </c>
      <c r="AJ15" s="150" t="s">
        <v>132</v>
      </c>
      <c r="AK15" s="150" t="s">
        <v>132</v>
      </c>
      <c r="AL15" s="150" t="s">
        <v>132</v>
      </c>
      <c r="AM15" s="150" t="s">
        <v>132</v>
      </c>
      <c r="AN15" s="150" t="s">
        <v>132</v>
      </c>
      <c r="AO15" s="150" t="s">
        <v>132</v>
      </c>
      <c r="AP15" s="150" t="s">
        <v>132</v>
      </c>
      <c r="AQ15" s="150" t="s">
        <v>132</v>
      </c>
      <c r="AR15" s="150" t="s">
        <v>132</v>
      </c>
      <c r="AS15" s="150" t="s">
        <v>132</v>
      </c>
      <c r="AT15" s="150" t="s">
        <v>132</v>
      </c>
      <c r="AU15" s="150" t="s">
        <v>132</v>
      </c>
      <c r="AV15" s="150" t="s">
        <v>132</v>
      </c>
      <c r="AW15" s="150" t="s">
        <v>132</v>
      </c>
      <c r="AX15" s="150" t="s">
        <v>132</v>
      </c>
      <c r="AY15" s="150" t="s">
        <v>132</v>
      </c>
      <c r="AZ15" s="150" t="s">
        <v>132</v>
      </c>
      <c r="BA15" s="150" t="s">
        <v>132</v>
      </c>
      <c r="BB15" s="150" t="s">
        <v>132</v>
      </c>
      <c r="BC15" s="150" t="s">
        <v>132</v>
      </c>
      <c r="BD15" s="150" t="s">
        <v>132</v>
      </c>
      <c r="BE15" s="150" t="s">
        <v>132</v>
      </c>
      <c r="BF15" s="150" t="s">
        <v>132</v>
      </c>
      <c r="BG15" s="150" t="s">
        <v>132</v>
      </c>
      <c r="BH15" s="150" t="s">
        <v>132</v>
      </c>
      <c r="BI15" s="150" t="s">
        <v>132</v>
      </c>
      <c r="BJ15" s="150" t="s">
        <v>132</v>
      </c>
      <c r="BK15" s="150" t="s">
        <v>132</v>
      </c>
      <c r="BL15" s="150" t="s">
        <v>132</v>
      </c>
      <c r="BM15" s="150" t="s">
        <v>132</v>
      </c>
      <c r="BN15" s="150" t="s">
        <v>132</v>
      </c>
      <c r="BO15" s="150" t="s">
        <v>132</v>
      </c>
      <c r="BP15" s="150" t="s">
        <v>132</v>
      </c>
      <c r="BQ15" s="150" t="s">
        <v>132</v>
      </c>
      <c r="BR15" s="150" t="s">
        <v>132</v>
      </c>
      <c r="BS15" s="150" t="s">
        <v>132</v>
      </c>
      <c r="BT15" s="150" t="s">
        <v>132</v>
      </c>
      <c r="BU15" s="150" t="s">
        <v>132</v>
      </c>
      <c r="BV15" s="150" t="s">
        <v>132</v>
      </c>
      <c r="BW15" s="150" t="s">
        <v>132</v>
      </c>
      <c r="BX15" s="150" t="s">
        <v>132</v>
      </c>
      <c r="BY15" s="150" t="s">
        <v>132</v>
      </c>
      <c r="BZ15" s="150" t="s">
        <v>132</v>
      </c>
      <c r="CA15" s="150" t="s">
        <v>132</v>
      </c>
      <c r="CB15" s="150" t="s">
        <v>132</v>
      </c>
      <c r="CC15" s="190" t="s">
        <v>132</v>
      </c>
      <c r="CD15" s="190" t="s">
        <v>132</v>
      </c>
      <c r="CE15" s="190" t="s">
        <v>132</v>
      </c>
      <c r="CF15" s="190" t="s">
        <v>132</v>
      </c>
      <c r="CG15" s="190" t="s">
        <v>132</v>
      </c>
      <c r="CH15" s="190" t="s">
        <v>132</v>
      </c>
      <c r="CI15" s="190" t="s">
        <v>132</v>
      </c>
      <c r="CJ15" s="190" t="s">
        <v>132</v>
      </c>
      <c r="CK15" s="190" t="s">
        <v>132</v>
      </c>
      <c r="CL15" s="190" t="s">
        <v>132</v>
      </c>
      <c r="CM15" s="190" t="s">
        <v>132</v>
      </c>
      <c r="CN15" s="190" t="s">
        <v>132</v>
      </c>
      <c r="CO15" s="190" t="s">
        <v>132</v>
      </c>
      <c r="CP15" s="190" t="s">
        <v>132</v>
      </c>
      <c r="CQ15" s="190" t="s">
        <v>132</v>
      </c>
      <c r="CR15" s="190" t="s">
        <v>132</v>
      </c>
      <c r="CS15" s="190" t="s">
        <v>132</v>
      </c>
      <c r="CT15" s="190" t="s">
        <v>132</v>
      </c>
      <c r="CU15" s="190" t="s">
        <v>132</v>
      </c>
      <c r="CV15" s="190" t="s">
        <v>132</v>
      </c>
      <c r="CW15" s="190" t="s">
        <v>132</v>
      </c>
      <c r="CX15" s="190" t="s">
        <v>132</v>
      </c>
      <c r="CY15" s="190" t="s">
        <v>132</v>
      </c>
      <c r="CZ15" s="190" t="s">
        <v>132</v>
      </c>
      <c r="DA15" s="190" t="s">
        <v>132</v>
      </c>
      <c r="DB15" s="190" t="s">
        <v>132</v>
      </c>
      <c r="DC15" s="190" t="s">
        <v>132</v>
      </c>
      <c r="DD15" s="190" t="s">
        <v>132</v>
      </c>
      <c r="DE15" s="190" t="s">
        <v>132</v>
      </c>
      <c r="DF15" s="190" t="s">
        <v>132</v>
      </c>
      <c r="DG15" s="190" t="s">
        <v>132</v>
      </c>
      <c r="DH15" s="190" t="s">
        <v>132</v>
      </c>
    </row>
    <row r="16" spans="1:112">
      <c r="A16" s="150" t="s">
        <v>131</v>
      </c>
      <c r="B16" s="150">
        <v>3</v>
      </c>
      <c r="C16" s="150">
        <v>3</v>
      </c>
      <c r="D16" s="150" t="s">
        <v>233</v>
      </c>
      <c r="E16" s="150" t="s">
        <v>229</v>
      </c>
      <c r="F16" s="150">
        <v>58</v>
      </c>
      <c r="G16" s="150" t="s">
        <v>234</v>
      </c>
      <c r="H16" s="150" t="s">
        <v>136</v>
      </c>
      <c r="I16" s="150" t="s">
        <v>132</v>
      </c>
      <c r="J16" s="150" t="s">
        <v>132</v>
      </c>
      <c r="K16" s="150" t="s">
        <v>132</v>
      </c>
      <c r="L16" s="150" t="s">
        <v>284</v>
      </c>
      <c r="M16" s="150" t="s">
        <v>132</v>
      </c>
      <c r="N16" s="150">
        <v>13.7</v>
      </c>
      <c r="O16" s="150" t="s">
        <v>132</v>
      </c>
      <c r="P16" s="150">
        <f t="shared" si="0"/>
        <v>1.3699999999999999</v>
      </c>
      <c r="Q16" s="150" t="s">
        <v>132</v>
      </c>
      <c r="R16" s="150" t="s">
        <v>132</v>
      </c>
      <c r="S16" s="150" t="s">
        <v>132</v>
      </c>
      <c r="T16" s="150" t="s">
        <v>132</v>
      </c>
      <c r="U16" s="150" t="s">
        <v>132</v>
      </c>
      <c r="V16" s="150" t="s">
        <v>132</v>
      </c>
      <c r="W16" s="150" t="s">
        <v>132</v>
      </c>
      <c r="X16" s="150" t="s">
        <v>132</v>
      </c>
      <c r="Y16" s="150" t="s">
        <v>132</v>
      </c>
      <c r="Z16" s="150" t="s">
        <v>132</v>
      </c>
      <c r="AA16" s="150" t="s">
        <v>132</v>
      </c>
      <c r="AB16" s="150" t="s">
        <v>132</v>
      </c>
      <c r="AC16" s="150" t="s">
        <v>132</v>
      </c>
      <c r="AD16" s="150" t="s">
        <v>132</v>
      </c>
      <c r="AE16" s="150" t="s">
        <v>132</v>
      </c>
      <c r="AF16" s="150" t="s">
        <v>132</v>
      </c>
      <c r="AG16" s="150" t="s">
        <v>132</v>
      </c>
      <c r="AH16" s="150" t="s">
        <v>132</v>
      </c>
      <c r="AI16" s="150" t="s">
        <v>132</v>
      </c>
      <c r="AJ16" s="150" t="s">
        <v>132</v>
      </c>
      <c r="AK16" s="150" t="s">
        <v>132</v>
      </c>
      <c r="AL16" s="150" t="s">
        <v>132</v>
      </c>
      <c r="AM16" s="150" t="s">
        <v>132</v>
      </c>
      <c r="AN16" s="150" t="s">
        <v>132</v>
      </c>
      <c r="AO16" s="150" t="s">
        <v>132</v>
      </c>
      <c r="AP16" s="150" t="s">
        <v>132</v>
      </c>
      <c r="AQ16" s="150" t="s">
        <v>132</v>
      </c>
      <c r="AR16" s="150" t="s">
        <v>132</v>
      </c>
      <c r="AS16" s="150" t="s">
        <v>132</v>
      </c>
      <c r="AT16" s="150" t="s">
        <v>132</v>
      </c>
      <c r="AU16" s="150" t="s">
        <v>132</v>
      </c>
      <c r="AV16" s="150" t="s">
        <v>132</v>
      </c>
      <c r="AW16" s="150" t="s">
        <v>132</v>
      </c>
      <c r="AX16" s="150" t="s">
        <v>132</v>
      </c>
      <c r="AY16" s="150" t="s">
        <v>132</v>
      </c>
      <c r="AZ16" s="150" t="s">
        <v>132</v>
      </c>
      <c r="BA16" s="150" t="s">
        <v>132</v>
      </c>
      <c r="BB16" s="150" t="s">
        <v>132</v>
      </c>
      <c r="BC16" s="150" t="s">
        <v>132</v>
      </c>
      <c r="BD16" s="150" t="s">
        <v>132</v>
      </c>
      <c r="BE16" s="150" t="s">
        <v>132</v>
      </c>
      <c r="BF16" s="150" t="s">
        <v>132</v>
      </c>
      <c r="BG16" s="150" t="s">
        <v>132</v>
      </c>
      <c r="BH16" s="150" t="s">
        <v>132</v>
      </c>
      <c r="BI16" s="150" t="s">
        <v>132</v>
      </c>
      <c r="BJ16" s="150" t="s">
        <v>132</v>
      </c>
      <c r="BK16" s="150" t="s">
        <v>132</v>
      </c>
      <c r="BL16" s="150" t="s">
        <v>132</v>
      </c>
      <c r="BM16" s="150" t="s">
        <v>132</v>
      </c>
      <c r="BN16" s="150" t="s">
        <v>132</v>
      </c>
      <c r="BO16" s="150" t="s">
        <v>132</v>
      </c>
      <c r="BP16" s="150" t="s">
        <v>132</v>
      </c>
      <c r="BQ16" s="150" t="s">
        <v>132</v>
      </c>
      <c r="BR16" s="150" t="s">
        <v>132</v>
      </c>
      <c r="BS16" s="150" t="s">
        <v>132</v>
      </c>
      <c r="BT16" s="150" t="s">
        <v>132</v>
      </c>
      <c r="BU16" s="150" t="s">
        <v>132</v>
      </c>
      <c r="BV16" s="150" t="s">
        <v>132</v>
      </c>
      <c r="BW16" s="150" t="s">
        <v>132</v>
      </c>
      <c r="BX16" s="150" t="s">
        <v>132</v>
      </c>
      <c r="BY16" s="150" t="s">
        <v>132</v>
      </c>
      <c r="BZ16" s="150" t="s">
        <v>132</v>
      </c>
      <c r="CA16" s="150" t="s">
        <v>132</v>
      </c>
      <c r="CB16" s="150" t="s">
        <v>132</v>
      </c>
      <c r="CC16" s="190" t="s">
        <v>132</v>
      </c>
      <c r="CD16" s="190" t="s">
        <v>132</v>
      </c>
      <c r="CE16" s="190" t="s">
        <v>132</v>
      </c>
      <c r="CF16" s="190" t="s">
        <v>132</v>
      </c>
      <c r="CG16" s="190" t="s">
        <v>132</v>
      </c>
      <c r="CH16" s="190" t="s">
        <v>132</v>
      </c>
      <c r="CI16" s="190" t="s">
        <v>132</v>
      </c>
      <c r="CJ16" s="190" t="s">
        <v>132</v>
      </c>
      <c r="CK16" s="190" t="s">
        <v>132</v>
      </c>
      <c r="CL16" s="190" t="s">
        <v>132</v>
      </c>
      <c r="CM16" s="190" t="s">
        <v>132</v>
      </c>
      <c r="CN16" s="190" t="s">
        <v>132</v>
      </c>
      <c r="CO16" s="190" t="s">
        <v>132</v>
      </c>
      <c r="CP16" s="190" t="s">
        <v>132</v>
      </c>
      <c r="CQ16" s="190" t="s">
        <v>132</v>
      </c>
      <c r="CR16" s="190" t="s">
        <v>132</v>
      </c>
      <c r="CS16" s="190" t="s">
        <v>132</v>
      </c>
      <c r="CT16" s="190" t="s">
        <v>132</v>
      </c>
      <c r="CU16" s="190" t="s">
        <v>132</v>
      </c>
      <c r="CV16" s="190" t="s">
        <v>132</v>
      </c>
      <c r="CW16" s="190" t="s">
        <v>132</v>
      </c>
      <c r="CX16" s="190" t="s">
        <v>132</v>
      </c>
      <c r="CY16" s="190" t="s">
        <v>132</v>
      </c>
      <c r="CZ16" s="190" t="s">
        <v>132</v>
      </c>
      <c r="DA16" s="190" t="s">
        <v>132</v>
      </c>
      <c r="DB16" s="190" t="s">
        <v>132</v>
      </c>
      <c r="DC16" s="190" t="s">
        <v>132</v>
      </c>
      <c r="DD16" s="190" t="s">
        <v>132</v>
      </c>
      <c r="DE16" s="190" t="s">
        <v>132</v>
      </c>
      <c r="DF16" s="190" t="s">
        <v>132</v>
      </c>
      <c r="DG16" s="190" t="s">
        <v>132</v>
      </c>
      <c r="DH16" s="190" t="s">
        <v>132</v>
      </c>
    </row>
    <row r="17" spans="1:112">
      <c r="A17" s="150" t="s">
        <v>131</v>
      </c>
      <c r="B17" s="150">
        <v>3</v>
      </c>
      <c r="C17" s="150">
        <v>3</v>
      </c>
      <c r="D17" s="150" t="s">
        <v>233</v>
      </c>
      <c r="E17" s="150" t="s">
        <v>229</v>
      </c>
      <c r="F17" s="150">
        <v>58</v>
      </c>
      <c r="G17" s="150" t="s">
        <v>234</v>
      </c>
      <c r="H17" s="150" t="s">
        <v>136</v>
      </c>
      <c r="I17" s="150" t="s">
        <v>132</v>
      </c>
      <c r="J17" s="150" t="s">
        <v>132</v>
      </c>
      <c r="K17" s="150" t="s">
        <v>132</v>
      </c>
      <c r="L17" s="150" t="s">
        <v>283</v>
      </c>
      <c r="M17" s="150" t="s">
        <v>132</v>
      </c>
      <c r="N17" s="150">
        <v>35.700000000000003</v>
      </c>
      <c r="O17" s="150" t="s">
        <v>132</v>
      </c>
      <c r="P17" s="150">
        <f t="shared" si="0"/>
        <v>3.5700000000000003</v>
      </c>
      <c r="Q17" s="150" t="s">
        <v>132</v>
      </c>
      <c r="R17" s="150" t="s">
        <v>132</v>
      </c>
      <c r="S17" s="150" t="s">
        <v>132</v>
      </c>
      <c r="T17" s="150" t="s">
        <v>132</v>
      </c>
      <c r="U17" s="150" t="s">
        <v>132</v>
      </c>
      <c r="V17" s="150" t="s">
        <v>132</v>
      </c>
      <c r="W17" s="150" t="s">
        <v>132</v>
      </c>
      <c r="X17" s="150" t="s">
        <v>132</v>
      </c>
      <c r="Y17" s="150" t="s">
        <v>132</v>
      </c>
      <c r="Z17" s="150" t="s">
        <v>132</v>
      </c>
      <c r="AA17" s="150" t="s">
        <v>132</v>
      </c>
      <c r="AB17" s="150" t="s">
        <v>132</v>
      </c>
      <c r="AC17" s="150" t="s">
        <v>132</v>
      </c>
      <c r="AD17" s="150" t="s">
        <v>132</v>
      </c>
      <c r="AE17" s="150" t="s">
        <v>132</v>
      </c>
      <c r="AF17" s="150" t="s">
        <v>132</v>
      </c>
      <c r="AG17" s="150" t="s">
        <v>132</v>
      </c>
      <c r="AH17" s="150" t="s">
        <v>132</v>
      </c>
      <c r="AI17" s="150" t="s">
        <v>132</v>
      </c>
      <c r="AJ17" s="150" t="s">
        <v>132</v>
      </c>
      <c r="AK17" s="150" t="s">
        <v>132</v>
      </c>
      <c r="AL17" s="150" t="s">
        <v>132</v>
      </c>
      <c r="AM17" s="150" t="s">
        <v>132</v>
      </c>
      <c r="AN17" s="150" t="s">
        <v>132</v>
      </c>
      <c r="AO17" s="150" t="s">
        <v>132</v>
      </c>
      <c r="AP17" s="150" t="s">
        <v>132</v>
      </c>
      <c r="AQ17" s="150" t="s">
        <v>132</v>
      </c>
      <c r="AR17" s="150" t="s">
        <v>132</v>
      </c>
      <c r="AS17" s="150" t="s">
        <v>132</v>
      </c>
      <c r="AT17" s="150" t="s">
        <v>132</v>
      </c>
      <c r="AU17" s="150" t="s">
        <v>132</v>
      </c>
      <c r="AV17" s="150" t="s">
        <v>132</v>
      </c>
      <c r="AW17" s="150" t="s">
        <v>132</v>
      </c>
      <c r="AX17" s="150" t="s">
        <v>132</v>
      </c>
      <c r="AY17" s="150" t="s">
        <v>132</v>
      </c>
      <c r="AZ17" s="150" t="s">
        <v>132</v>
      </c>
      <c r="BA17" s="150" t="s">
        <v>132</v>
      </c>
      <c r="BB17" s="150" t="s">
        <v>132</v>
      </c>
      <c r="BC17" s="150" t="s">
        <v>132</v>
      </c>
      <c r="BD17" s="150" t="s">
        <v>132</v>
      </c>
      <c r="BE17" s="150" t="s">
        <v>132</v>
      </c>
      <c r="BF17" s="150" t="s">
        <v>132</v>
      </c>
      <c r="BG17" s="150" t="s">
        <v>132</v>
      </c>
      <c r="BH17" s="150" t="s">
        <v>132</v>
      </c>
      <c r="BI17" s="150" t="s">
        <v>132</v>
      </c>
      <c r="BJ17" s="150" t="s">
        <v>132</v>
      </c>
      <c r="BK17" s="150" t="s">
        <v>132</v>
      </c>
      <c r="BL17" s="150" t="s">
        <v>132</v>
      </c>
      <c r="BM17" s="150" t="s">
        <v>132</v>
      </c>
      <c r="BN17" s="150" t="s">
        <v>132</v>
      </c>
      <c r="BO17" s="150" t="s">
        <v>132</v>
      </c>
      <c r="BP17" s="150" t="s">
        <v>132</v>
      </c>
      <c r="BQ17" s="150" t="s">
        <v>132</v>
      </c>
      <c r="BR17" s="150" t="s">
        <v>132</v>
      </c>
      <c r="BS17" s="150" t="s">
        <v>132</v>
      </c>
      <c r="BT17" s="150" t="s">
        <v>132</v>
      </c>
      <c r="BU17" s="150" t="s">
        <v>132</v>
      </c>
      <c r="BV17" s="150" t="s">
        <v>132</v>
      </c>
      <c r="BW17" s="150" t="s">
        <v>132</v>
      </c>
      <c r="BX17" s="150" t="s">
        <v>132</v>
      </c>
      <c r="BY17" s="150" t="s">
        <v>132</v>
      </c>
      <c r="BZ17" s="150" t="s">
        <v>132</v>
      </c>
      <c r="CA17" s="150" t="s">
        <v>132</v>
      </c>
      <c r="CB17" s="150" t="s">
        <v>132</v>
      </c>
      <c r="CC17" s="190" t="s">
        <v>132</v>
      </c>
      <c r="CD17" s="190" t="s">
        <v>132</v>
      </c>
      <c r="CE17" s="190" t="s">
        <v>132</v>
      </c>
      <c r="CF17" s="190" t="s">
        <v>132</v>
      </c>
      <c r="CG17" s="190" t="s">
        <v>132</v>
      </c>
      <c r="CH17" s="190" t="s">
        <v>132</v>
      </c>
      <c r="CI17" s="190" t="s">
        <v>132</v>
      </c>
      <c r="CJ17" s="190" t="s">
        <v>132</v>
      </c>
      <c r="CK17" s="190" t="s">
        <v>132</v>
      </c>
      <c r="CL17" s="190" t="s">
        <v>132</v>
      </c>
      <c r="CM17" s="190" t="s">
        <v>132</v>
      </c>
      <c r="CN17" s="190" t="s">
        <v>132</v>
      </c>
      <c r="CO17" s="190" t="s">
        <v>132</v>
      </c>
      <c r="CP17" s="190" t="s">
        <v>132</v>
      </c>
      <c r="CQ17" s="190" t="s">
        <v>132</v>
      </c>
      <c r="CR17" s="190" t="s">
        <v>132</v>
      </c>
      <c r="CS17" s="190" t="s">
        <v>132</v>
      </c>
      <c r="CT17" s="190" t="s">
        <v>132</v>
      </c>
      <c r="CU17" s="190" t="s">
        <v>132</v>
      </c>
      <c r="CV17" s="190" t="s">
        <v>132</v>
      </c>
      <c r="CW17" s="190" t="s">
        <v>132</v>
      </c>
      <c r="CX17" s="190" t="s">
        <v>132</v>
      </c>
      <c r="CY17" s="190" t="s">
        <v>132</v>
      </c>
      <c r="CZ17" s="190" t="s">
        <v>132</v>
      </c>
      <c r="DA17" s="190" t="s">
        <v>132</v>
      </c>
      <c r="DB17" s="190" t="s">
        <v>132</v>
      </c>
      <c r="DC17" s="190" t="s">
        <v>132</v>
      </c>
      <c r="DD17" s="190" t="s">
        <v>132</v>
      </c>
      <c r="DE17" s="190" t="s">
        <v>132</v>
      </c>
      <c r="DF17" s="190" t="s">
        <v>132</v>
      </c>
      <c r="DG17" s="190" t="s">
        <v>132</v>
      </c>
      <c r="DH17" s="190" t="s">
        <v>132</v>
      </c>
    </row>
    <row r="18" spans="1:112">
      <c r="A18" s="150" t="s">
        <v>131</v>
      </c>
      <c r="B18" s="150">
        <v>3</v>
      </c>
      <c r="C18" s="150">
        <v>3</v>
      </c>
      <c r="D18" s="150" t="s">
        <v>233</v>
      </c>
      <c r="E18" s="150" t="s">
        <v>229</v>
      </c>
      <c r="F18" s="150">
        <v>58</v>
      </c>
      <c r="G18" s="150" t="s">
        <v>234</v>
      </c>
      <c r="H18" s="150" t="s">
        <v>136</v>
      </c>
      <c r="I18" s="150" t="s">
        <v>132</v>
      </c>
      <c r="J18" s="150" t="s">
        <v>132</v>
      </c>
      <c r="K18" s="150" t="s">
        <v>132</v>
      </c>
      <c r="L18" s="150" t="s">
        <v>283</v>
      </c>
      <c r="M18" s="150" t="s">
        <v>132</v>
      </c>
      <c r="N18" s="150">
        <v>60</v>
      </c>
      <c r="O18" s="150" t="s">
        <v>132</v>
      </c>
      <c r="P18" s="150">
        <f t="shared" si="0"/>
        <v>6</v>
      </c>
      <c r="Q18" s="150" t="s">
        <v>132</v>
      </c>
      <c r="R18" s="150" t="s">
        <v>132</v>
      </c>
      <c r="S18" s="150" t="s">
        <v>132</v>
      </c>
      <c r="T18" s="150" t="s">
        <v>132</v>
      </c>
      <c r="U18" s="150" t="s">
        <v>132</v>
      </c>
      <c r="V18" s="150" t="s">
        <v>132</v>
      </c>
      <c r="W18" s="150" t="s">
        <v>132</v>
      </c>
      <c r="X18" s="150" t="s">
        <v>132</v>
      </c>
      <c r="Y18" s="150" t="s">
        <v>132</v>
      </c>
      <c r="Z18" s="150" t="s">
        <v>132</v>
      </c>
      <c r="AA18" s="150" t="s">
        <v>132</v>
      </c>
      <c r="AB18" s="150" t="s">
        <v>132</v>
      </c>
      <c r="AC18" s="150" t="s">
        <v>132</v>
      </c>
      <c r="AD18" s="150" t="s">
        <v>132</v>
      </c>
      <c r="AE18" s="150" t="s">
        <v>132</v>
      </c>
      <c r="AF18" s="150" t="s">
        <v>132</v>
      </c>
      <c r="AG18" s="150" t="s">
        <v>132</v>
      </c>
      <c r="AH18" s="150" t="s">
        <v>132</v>
      </c>
      <c r="AI18" s="150" t="s">
        <v>132</v>
      </c>
      <c r="AJ18" s="150" t="s">
        <v>132</v>
      </c>
      <c r="AK18" s="150" t="s">
        <v>132</v>
      </c>
      <c r="AL18" s="150" t="s">
        <v>132</v>
      </c>
      <c r="AM18" s="150" t="s">
        <v>132</v>
      </c>
      <c r="AN18" s="150" t="s">
        <v>132</v>
      </c>
      <c r="AO18" s="150" t="s">
        <v>132</v>
      </c>
      <c r="AP18" s="150" t="s">
        <v>132</v>
      </c>
      <c r="AQ18" s="150" t="s">
        <v>132</v>
      </c>
      <c r="AR18" s="150" t="s">
        <v>132</v>
      </c>
      <c r="AS18" s="150" t="s">
        <v>132</v>
      </c>
      <c r="AT18" s="150" t="s">
        <v>132</v>
      </c>
      <c r="AU18" s="150" t="s">
        <v>132</v>
      </c>
      <c r="AV18" s="150" t="s">
        <v>132</v>
      </c>
      <c r="AW18" s="150" t="s">
        <v>132</v>
      </c>
      <c r="AX18" s="150" t="s">
        <v>132</v>
      </c>
      <c r="AY18" s="150" t="s">
        <v>132</v>
      </c>
      <c r="AZ18" s="150" t="s">
        <v>132</v>
      </c>
      <c r="BA18" s="150" t="s">
        <v>132</v>
      </c>
      <c r="BB18" s="150" t="s">
        <v>132</v>
      </c>
      <c r="BC18" s="150" t="s">
        <v>132</v>
      </c>
      <c r="BD18" s="150" t="s">
        <v>132</v>
      </c>
      <c r="BE18" s="150" t="s">
        <v>132</v>
      </c>
      <c r="BF18" s="150" t="s">
        <v>132</v>
      </c>
      <c r="BG18" s="150" t="s">
        <v>132</v>
      </c>
      <c r="BH18" s="150" t="s">
        <v>132</v>
      </c>
      <c r="BI18" s="150" t="s">
        <v>132</v>
      </c>
      <c r="BJ18" s="150" t="s">
        <v>132</v>
      </c>
      <c r="BK18" s="150" t="s">
        <v>132</v>
      </c>
      <c r="BL18" s="150" t="s">
        <v>132</v>
      </c>
      <c r="BM18" s="150" t="s">
        <v>132</v>
      </c>
      <c r="BN18" s="150" t="s">
        <v>132</v>
      </c>
      <c r="BO18" s="150" t="s">
        <v>132</v>
      </c>
      <c r="BP18" s="150" t="s">
        <v>132</v>
      </c>
      <c r="BQ18" s="150" t="s">
        <v>132</v>
      </c>
      <c r="BR18" s="150" t="s">
        <v>132</v>
      </c>
      <c r="BS18" s="150" t="s">
        <v>132</v>
      </c>
      <c r="BT18" s="150" t="s">
        <v>132</v>
      </c>
      <c r="BU18" s="150" t="s">
        <v>132</v>
      </c>
      <c r="BV18" s="150" t="s">
        <v>132</v>
      </c>
      <c r="BW18" s="150" t="s">
        <v>132</v>
      </c>
      <c r="BX18" s="150" t="s">
        <v>132</v>
      </c>
      <c r="BY18" s="150" t="s">
        <v>132</v>
      </c>
      <c r="BZ18" s="150" t="s">
        <v>132</v>
      </c>
      <c r="CA18" s="150" t="s">
        <v>132</v>
      </c>
      <c r="CB18" s="150" t="s">
        <v>132</v>
      </c>
      <c r="CC18" s="190" t="s">
        <v>132</v>
      </c>
      <c r="CD18" s="190" t="s">
        <v>132</v>
      </c>
      <c r="CE18" s="190" t="s">
        <v>132</v>
      </c>
      <c r="CF18" s="190" t="s">
        <v>132</v>
      </c>
      <c r="CG18" s="190" t="s">
        <v>132</v>
      </c>
      <c r="CH18" s="190" t="s">
        <v>132</v>
      </c>
      <c r="CI18" s="190" t="s">
        <v>132</v>
      </c>
      <c r="CJ18" s="190" t="s">
        <v>132</v>
      </c>
      <c r="CK18" s="190" t="s">
        <v>132</v>
      </c>
      <c r="CL18" s="190" t="s">
        <v>132</v>
      </c>
      <c r="CM18" s="190" t="s">
        <v>132</v>
      </c>
      <c r="CN18" s="190" t="s">
        <v>132</v>
      </c>
      <c r="CO18" s="190" t="s">
        <v>132</v>
      </c>
      <c r="CP18" s="190" t="s">
        <v>132</v>
      </c>
      <c r="CQ18" s="190" t="s">
        <v>132</v>
      </c>
      <c r="CR18" s="190" t="s">
        <v>132</v>
      </c>
      <c r="CS18" s="190" t="s">
        <v>132</v>
      </c>
      <c r="CT18" s="190" t="s">
        <v>132</v>
      </c>
      <c r="CU18" s="190" t="s">
        <v>132</v>
      </c>
      <c r="CV18" s="190" t="s">
        <v>132</v>
      </c>
      <c r="CW18" s="190" t="s">
        <v>132</v>
      </c>
      <c r="CX18" s="190" t="s">
        <v>132</v>
      </c>
      <c r="CY18" s="190" t="s">
        <v>132</v>
      </c>
      <c r="CZ18" s="190" t="s">
        <v>132</v>
      </c>
      <c r="DA18" s="190" t="s">
        <v>132</v>
      </c>
      <c r="DB18" s="190" t="s">
        <v>132</v>
      </c>
      <c r="DC18" s="190" t="s">
        <v>132</v>
      </c>
      <c r="DD18" s="190" t="s">
        <v>132</v>
      </c>
      <c r="DE18" s="190" t="s">
        <v>132</v>
      </c>
      <c r="DF18" s="190" t="s">
        <v>132</v>
      </c>
      <c r="DG18" s="190" t="s">
        <v>132</v>
      </c>
      <c r="DH18" s="190" t="s">
        <v>132</v>
      </c>
    </row>
    <row r="19" spans="1:112">
      <c r="A19" s="150" t="s">
        <v>131</v>
      </c>
      <c r="B19" s="150">
        <v>3</v>
      </c>
      <c r="C19" s="150">
        <v>3</v>
      </c>
      <c r="D19" s="150" t="s">
        <v>233</v>
      </c>
      <c r="E19" s="150" t="s">
        <v>230</v>
      </c>
      <c r="F19" s="150">
        <v>58</v>
      </c>
      <c r="G19" s="150" t="s">
        <v>234</v>
      </c>
      <c r="H19" s="150" t="s">
        <v>136</v>
      </c>
      <c r="I19" s="150" t="s">
        <v>132</v>
      </c>
      <c r="J19" s="150" t="s">
        <v>132</v>
      </c>
      <c r="K19" s="150" t="s">
        <v>132</v>
      </c>
      <c r="L19" s="150" t="s">
        <v>284</v>
      </c>
      <c r="M19" s="150" t="s">
        <v>132</v>
      </c>
      <c r="N19" s="150">
        <v>85.7</v>
      </c>
      <c r="O19" s="150" t="s">
        <v>132</v>
      </c>
      <c r="P19" s="150">
        <f t="shared" si="0"/>
        <v>8.57</v>
      </c>
      <c r="Q19" s="150" t="s">
        <v>132</v>
      </c>
      <c r="R19" s="150" t="s">
        <v>132</v>
      </c>
      <c r="S19" s="150" t="s">
        <v>132</v>
      </c>
      <c r="T19" s="150" t="s">
        <v>132</v>
      </c>
      <c r="U19" s="150" t="s">
        <v>132</v>
      </c>
      <c r="V19" s="150" t="s">
        <v>132</v>
      </c>
      <c r="W19" s="150" t="s">
        <v>132</v>
      </c>
      <c r="X19" s="150" t="s">
        <v>132</v>
      </c>
      <c r="Y19" s="150" t="s">
        <v>132</v>
      </c>
      <c r="Z19" s="150" t="s">
        <v>132</v>
      </c>
      <c r="AA19" s="150" t="s">
        <v>132</v>
      </c>
      <c r="AB19" s="150" t="s">
        <v>132</v>
      </c>
      <c r="AC19" s="150" t="s">
        <v>132</v>
      </c>
      <c r="AD19" s="150" t="s">
        <v>132</v>
      </c>
      <c r="AE19" s="150" t="s">
        <v>132</v>
      </c>
      <c r="AF19" s="150" t="s">
        <v>132</v>
      </c>
      <c r="AG19" s="150" t="s">
        <v>132</v>
      </c>
      <c r="AH19" s="150" t="s">
        <v>132</v>
      </c>
      <c r="AI19" s="150" t="s">
        <v>132</v>
      </c>
      <c r="AJ19" s="150" t="s">
        <v>132</v>
      </c>
      <c r="AK19" s="150" t="s">
        <v>132</v>
      </c>
      <c r="AL19" s="150" t="s">
        <v>132</v>
      </c>
      <c r="AM19" s="150" t="s">
        <v>132</v>
      </c>
      <c r="AN19" s="150" t="s">
        <v>132</v>
      </c>
      <c r="AO19" s="150" t="s">
        <v>132</v>
      </c>
      <c r="AP19" s="150" t="s">
        <v>132</v>
      </c>
      <c r="AQ19" s="150" t="s">
        <v>132</v>
      </c>
      <c r="AR19" s="150" t="s">
        <v>132</v>
      </c>
      <c r="AS19" s="150" t="s">
        <v>132</v>
      </c>
      <c r="AT19" s="150" t="s">
        <v>132</v>
      </c>
      <c r="AU19" s="150" t="s">
        <v>132</v>
      </c>
      <c r="AV19" s="150" t="s">
        <v>132</v>
      </c>
      <c r="AW19" s="150" t="s">
        <v>132</v>
      </c>
      <c r="AX19" s="150" t="s">
        <v>132</v>
      </c>
      <c r="AY19" s="150" t="s">
        <v>132</v>
      </c>
      <c r="AZ19" s="150" t="s">
        <v>132</v>
      </c>
      <c r="BA19" s="150" t="s">
        <v>132</v>
      </c>
      <c r="BB19" s="150" t="s">
        <v>132</v>
      </c>
      <c r="BC19" s="150" t="s">
        <v>132</v>
      </c>
      <c r="BD19" s="150" t="s">
        <v>132</v>
      </c>
      <c r="BE19" s="150" t="s">
        <v>132</v>
      </c>
      <c r="BF19" s="150" t="s">
        <v>132</v>
      </c>
      <c r="BG19" s="150" t="s">
        <v>132</v>
      </c>
      <c r="BH19" s="150" t="s">
        <v>132</v>
      </c>
      <c r="BI19" s="150" t="s">
        <v>132</v>
      </c>
      <c r="BJ19" s="150" t="s">
        <v>132</v>
      </c>
      <c r="BK19" s="150" t="s">
        <v>132</v>
      </c>
      <c r="BL19" s="150" t="s">
        <v>132</v>
      </c>
      <c r="BM19" s="150" t="s">
        <v>132</v>
      </c>
      <c r="BN19" s="150" t="s">
        <v>132</v>
      </c>
      <c r="BO19" s="150" t="s">
        <v>132</v>
      </c>
      <c r="BP19" s="150" t="s">
        <v>132</v>
      </c>
      <c r="BQ19" s="150" t="s">
        <v>132</v>
      </c>
      <c r="BR19" s="150" t="s">
        <v>132</v>
      </c>
      <c r="BS19" s="150" t="s">
        <v>132</v>
      </c>
      <c r="BT19" s="150" t="s">
        <v>132</v>
      </c>
      <c r="BU19" s="150" t="s">
        <v>132</v>
      </c>
      <c r="BV19" s="150" t="s">
        <v>132</v>
      </c>
      <c r="BW19" s="150" t="s">
        <v>132</v>
      </c>
      <c r="BX19" s="150" t="s">
        <v>132</v>
      </c>
      <c r="BY19" s="150" t="s">
        <v>132</v>
      </c>
      <c r="BZ19" s="150" t="s">
        <v>132</v>
      </c>
      <c r="CA19" s="150" t="s">
        <v>132</v>
      </c>
      <c r="CB19" s="150" t="s">
        <v>132</v>
      </c>
      <c r="CC19" s="190" t="s">
        <v>132</v>
      </c>
      <c r="CD19" s="190" t="s">
        <v>132</v>
      </c>
      <c r="CE19" s="190" t="s">
        <v>132</v>
      </c>
      <c r="CF19" s="190" t="s">
        <v>132</v>
      </c>
      <c r="CG19" s="190" t="s">
        <v>132</v>
      </c>
      <c r="CH19" s="190" t="s">
        <v>132</v>
      </c>
      <c r="CI19" s="190" t="s">
        <v>132</v>
      </c>
      <c r="CJ19" s="190" t="s">
        <v>132</v>
      </c>
      <c r="CK19" s="190" t="s">
        <v>132</v>
      </c>
      <c r="CL19" s="190" t="s">
        <v>132</v>
      </c>
      <c r="CM19" s="190" t="s">
        <v>132</v>
      </c>
      <c r="CN19" s="190" t="s">
        <v>132</v>
      </c>
      <c r="CO19" s="190" t="s">
        <v>132</v>
      </c>
      <c r="CP19" s="190" t="s">
        <v>132</v>
      </c>
      <c r="CQ19" s="190" t="s">
        <v>132</v>
      </c>
      <c r="CR19" s="190" t="s">
        <v>132</v>
      </c>
      <c r="CS19" s="190" t="s">
        <v>132</v>
      </c>
      <c r="CT19" s="190" t="s">
        <v>132</v>
      </c>
      <c r="CU19" s="190" t="s">
        <v>132</v>
      </c>
      <c r="CV19" s="190" t="s">
        <v>132</v>
      </c>
      <c r="CW19" s="190" t="s">
        <v>132</v>
      </c>
      <c r="CX19" s="190" t="s">
        <v>132</v>
      </c>
      <c r="CY19" s="190" t="s">
        <v>132</v>
      </c>
      <c r="CZ19" s="190" t="s">
        <v>132</v>
      </c>
      <c r="DA19" s="190" t="s">
        <v>132</v>
      </c>
      <c r="DB19" s="190" t="s">
        <v>132</v>
      </c>
      <c r="DC19" s="190" t="s">
        <v>132</v>
      </c>
      <c r="DD19" s="190" t="s">
        <v>132</v>
      </c>
      <c r="DE19" s="190" t="s">
        <v>132</v>
      </c>
      <c r="DF19" s="190" t="s">
        <v>132</v>
      </c>
      <c r="DG19" s="190" t="s">
        <v>132</v>
      </c>
      <c r="DH19" s="190" t="s">
        <v>132</v>
      </c>
    </row>
    <row r="20" spans="1:112">
      <c r="A20" s="150" t="s">
        <v>153</v>
      </c>
      <c r="B20" s="150">
        <v>4</v>
      </c>
      <c r="C20" s="150">
        <v>4</v>
      </c>
      <c r="D20" s="150" t="s">
        <v>233</v>
      </c>
      <c r="E20" s="150" t="s">
        <v>229</v>
      </c>
      <c r="F20" s="150">
        <v>63</v>
      </c>
      <c r="G20" s="150" t="s">
        <v>234</v>
      </c>
      <c r="H20" s="150" t="s">
        <v>136</v>
      </c>
      <c r="I20" s="150" t="s">
        <v>240</v>
      </c>
      <c r="J20" s="150" t="s">
        <v>240</v>
      </c>
      <c r="K20" s="150" t="s">
        <v>132</v>
      </c>
      <c r="L20" s="150" t="s">
        <v>284</v>
      </c>
      <c r="M20" s="150">
        <v>0</v>
      </c>
      <c r="N20" s="150">
        <v>30.43</v>
      </c>
      <c r="O20" s="150">
        <v>0</v>
      </c>
      <c r="P20" s="150">
        <v>10</v>
      </c>
      <c r="Q20" s="150" t="s">
        <v>132</v>
      </c>
      <c r="R20" s="150" t="s">
        <v>132</v>
      </c>
      <c r="S20" s="150" t="s">
        <v>132</v>
      </c>
      <c r="T20" s="150" t="s">
        <v>132</v>
      </c>
      <c r="U20" s="150" t="s">
        <v>132</v>
      </c>
      <c r="V20" s="150" t="s">
        <v>132</v>
      </c>
      <c r="W20" s="150" t="s">
        <v>132</v>
      </c>
      <c r="X20" s="150" t="s">
        <v>132</v>
      </c>
      <c r="Y20" s="150" t="s">
        <v>132</v>
      </c>
      <c r="Z20" s="150" t="s">
        <v>132</v>
      </c>
      <c r="AA20" s="150" t="s">
        <v>132</v>
      </c>
      <c r="AB20" s="150" t="s">
        <v>132</v>
      </c>
      <c r="AC20" s="150" t="s">
        <v>132</v>
      </c>
      <c r="AD20" s="150" t="s">
        <v>132</v>
      </c>
      <c r="AE20" s="150" t="s">
        <v>132</v>
      </c>
      <c r="AF20" s="150" t="s">
        <v>132</v>
      </c>
      <c r="AG20" s="150" t="s">
        <v>132</v>
      </c>
      <c r="AH20" s="150" t="s">
        <v>132</v>
      </c>
      <c r="AI20" s="150" t="s">
        <v>132</v>
      </c>
      <c r="AJ20" s="150" t="s">
        <v>132</v>
      </c>
      <c r="AK20" s="150" t="s">
        <v>132</v>
      </c>
      <c r="AL20" s="150" t="s">
        <v>132</v>
      </c>
      <c r="AM20" s="150" t="s">
        <v>132</v>
      </c>
      <c r="AN20" s="150" t="s">
        <v>132</v>
      </c>
      <c r="AO20" s="150" t="s">
        <v>132</v>
      </c>
      <c r="AP20" s="150" t="s">
        <v>132</v>
      </c>
      <c r="AQ20" s="150" t="s">
        <v>132</v>
      </c>
      <c r="AR20" s="150" t="s">
        <v>132</v>
      </c>
      <c r="AS20" s="150" t="s">
        <v>132</v>
      </c>
      <c r="AT20" s="150" t="s">
        <v>132</v>
      </c>
      <c r="AU20" s="150" t="s">
        <v>132</v>
      </c>
      <c r="AV20" s="150" t="s">
        <v>132</v>
      </c>
      <c r="AW20" s="150" t="s">
        <v>132</v>
      </c>
      <c r="AX20" s="150" t="s">
        <v>132</v>
      </c>
      <c r="AY20" s="150" t="s">
        <v>132</v>
      </c>
      <c r="AZ20" s="150" t="s">
        <v>132</v>
      </c>
      <c r="BA20" s="150" t="s">
        <v>132</v>
      </c>
      <c r="BB20" s="150" t="s">
        <v>132</v>
      </c>
      <c r="BC20" s="150" t="s">
        <v>132</v>
      </c>
      <c r="BD20" s="150" t="s">
        <v>132</v>
      </c>
      <c r="BE20" s="150" t="s">
        <v>132</v>
      </c>
      <c r="BF20" s="150" t="s">
        <v>132</v>
      </c>
      <c r="BG20" s="150" t="s">
        <v>132</v>
      </c>
      <c r="BH20" s="150" t="s">
        <v>132</v>
      </c>
      <c r="BI20" s="150" t="s">
        <v>132</v>
      </c>
      <c r="BJ20" s="150" t="s">
        <v>132</v>
      </c>
      <c r="BK20" s="150" t="s">
        <v>132</v>
      </c>
      <c r="BL20" s="150" t="s">
        <v>132</v>
      </c>
      <c r="BM20" s="150" t="s">
        <v>132</v>
      </c>
      <c r="BN20" s="150" t="s">
        <v>132</v>
      </c>
      <c r="BO20" s="150" t="s">
        <v>132</v>
      </c>
      <c r="BP20" s="150" t="s">
        <v>132</v>
      </c>
      <c r="BQ20" s="150" t="s">
        <v>132</v>
      </c>
      <c r="BR20" s="150" t="s">
        <v>132</v>
      </c>
      <c r="BS20" s="150" t="s">
        <v>132</v>
      </c>
      <c r="BT20" s="150" t="s">
        <v>132</v>
      </c>
      <c r="BU20" s="150" t="s">
        <v>132</v>
      </c>
      <c r="BV20" s="150" t="s">
        <v>132</v>
      </c>
      <c r="BW20" s="150" t="s">
        <v>132</v>
      </c>
      <c r="BX20" s="150" t="s">
        <v>132</v>
      </c>
      <c r="BY20" s="150" t="s">
        <v>132</v>
      </c>
      <c r="BZ20" s="150" t="s">
        <v>132</v>
      </c>
      <c r="CA20" s="150" t="s">
        <v>132</v>
      </c>
      <c r="CB20" s="150" t="s">
        <v>132</v>
      </c>
      <c r="CC20" s="190" t="s">
        <v>132</v>
      </c>
      <c r="CD20" s="190" t="s">
        <v>132</v>
      </c>
      <c r="CE20" s="190" t="s">
        <v>132</v>
      </c>
      <c r="CF20" s="190" t="s">
        <v>132</v>
      </c>
      <c r="CG20" s="190" t="s">
        <v>132</v>
      </c>
      <c r="CH20" s="190" t="s">
        <v>132</v>
      </c>
      <c r="CI20" s="190" t="s">
        <v>132</v>
      </c>
      <c r="CJ20" s="190" t="s">
        <v>132</v>
      </c>
      <c r="CK20" s="190" t="s">
        <v>132</v>
      </c>
      <c r="CL20" s="190" t="s">
        <v>132</v>
      </c>
      <c r="CM20" s="190" t="s">
        <v>132</v>
      </c>
      <c r="CN20" s="190" t="s">
        <v>132</v>
      </c>
      <c r="CO20" s="190" t="s">
        <v>132</v>
      </c>
      <c r="CP20" s="190" t="s">
        <v>132</v>
      </c>
      <c r="CQ20" s="190" t="s">
        <v>132</v>
      </c>
      <c r="CR20" s="190" t="s">
        <v>132</v>
      </c>
      <c r="CS20" s="190" t="s">
        <v>132</v>
      </c>
      <c r="CT20" s="190" t="s">
        <v>132</v>
      </c>
      <c r="CU20" s="190" t="s">
        <v>132</v>
      </c>
      <c r="CV20" s="190" t="s">
        <v>132</v>
      </c>
      <c r="CW20" s="190" t="s">
        <v>132</v>
      </c>
      <c r="CX20" s="190" t="s">
        <v>132</v>
      </c>
      <c r="CY20" s="190" t="s">
        <v>132</v>
      </c>
      <c r="CZ20" s="190" t="s">
        <v>132</v>
      </c>
      <c r="DA20" s="190" t="s">
        <v>132</v>
      </c>
      <c r="DB20" s="190" t="s">
        <v>132</v>
      </c>
      <c r="DC20" s="190" t="s">
        <v>132</v>
      </c>
      <c r="DD20" s="190" t="s">
        <v>132</v>
      </c>
      <c r="DE20" s="190" t="s">
        <v>132</v>
      </c>
      <c r="DF20" s="190" t="s">
        <v>132</v>
      </c>
      <c r="DG20" s="190" t="s">
        <v>132</v>
      </c>
      <c r="DH20" s="190" t="s">
        <v>132</v>
      </c>
    </row>
    <row r="21" spans="1:112">
      <c r="A21" s="150" t="s">
        <v>133</v>
      </c>
      <c r="B21" s="150">
        <v>8</v>
      </c>
      <c r="C21" s="150">
        <v>8</v>
      </c>
      <c r="D21" s="150" t="s">
        <v>231</v>
      </c>
      <c r="E21" s="150" t="s">
        <v>231</v>
      </c>
      <c r="F21" s="150">
        <v>63</v>
      </c>
      <c r="G21" s="150" t="s">
        <v>234</v>
      </c>
      <c r="H21" s="150" t="s">
        <v>137</v>
      </c>
      <c r="I21" s="150" t="s">
        <v>240</v>
      </c>
      <c r="J21" s="150" t="s">
        <v>240</v>
      </c>
      <c r="K21" s="151" t="s">
        <v>241</v>
      </c>
      <c r="L21" s="150" t="s">
        <v>284</v>
      </c>
      <c r="M21" s="150">
        <v>6.8</v>
      </c>
      <c r="N21" s="150">
        <v>22.5</v>
      </c>
      <c r="O21" s="150">
        <v>7.1</v>
      </c>
      <c r="P21" s="150">
        <v>10.199999999999999</v>
      </c>
      <c r="Q21" s="150">
        <v>197</v>
      </c>
      <c r="R21" s="150">
        <v>189</v>
      </c>
      <c r="S21" s="150">
        <f>2*10</f>
        <v>20</v>
      </c>
      <c r="T21" s="150">
        <f>2*12</f>
        <v>24</v>
      </c>
      <c r="U21" s="150" t="s">
        <v>132</v>
      </c>
      <c r="V21" s="150" t="s">
        <v>132</v>
      </c>
      <c r="W21" s="150" t="s">
        <v>132</v>
      </c>
      <c r="X21" s="150" t="s">
        <v>132</v>
      </c>
      <c r="Y21" s="152">
        <v>2368</v>
      </c>
      <c r="Z21" s="152">
        <v>4084</v>
      </c>
      <c r="AA21" s="152">
        <f>2*253</f>
        <v>506</v>
      </c>
      <c r="AB21" s="152">
        <f>2*235</f>
        <v>470</v>
      </c>
      <c r="AC21" s="150" t="s">
        <v>132</v>
      </c>
      <c r="AD21" s="150" t="s">
        <v>132</v>
      </c>
      <c r="AE21" s="150" t="s">
        <v>132</v>
      </c>
      <c r="AF21" s="150" t="s">
        <v>132</v>
      </c>
      <c r="AG21" s="152">
        <v>41</v>
      </c>
      <c r="AH21" s="152">
        <v>65</v>
      </c>
      <c r="AI21" s="152">
        <v>6</v>
      </c>
      <c r="AJ21" s="152">
        <v>2</v>
      </c>
      <c r="AK21" s="150" t="s">
        <v>132</v>
      </c>
      <c r="AL21" s="150" t="s">
        <v>132</v>
      </c>
      <c r="AM21" s="150" t="s">
        <v>132</v>
      </c>
      <c r="AN21" s="150" t="s">
        <v>132</v>
      </c>
      <c r="AO21" s="176">
        <v>25157.501419372664</v>
      </c>
      <c r="AP21" s="176">
        <v>25661.522794678698</v>
      </c>
      <c r="AQ21" s="176">
        <v>3287.9376384522784</v>
      </c>
      <c r="AR21" s="176">
        <v>1307.70513983452</v>
      </c>
      <c r="AS21" s="150" t="s">
        <v>132</v>
      </c>
      <c r="AT21" s="150" t="s">
        <v>132</v>
      </c>
      <c r="AU21" s="150" t="s">
        <v>132</v>
      </c>
      <c r="AV21" s="150" t="s">
        <v>132</v>
      </c>
      <c r="AW21" s="176">
        <v>43996.67276975383</v>
      </c>
      <c r="AX21" s="176">
        <v>42823.569841515171</v>
      </c>
      <c r="AY21" s="176">
        <v>2793.4822547541407</v>
      </c>
      <c r="AZ21" s="176">
        <v>2813.6385204476101</v>
      </c>
      <c r="BA21" s="150" t="s">
        <v>132</v>
      </c>
      <c r="BB21" s="150" t="s">
        <v>132</v>
      </c>
      <c r="BC21" s="150" t="s">
        <v>132</v>
      </c>
      <c r="BD21" s="150" t="s">
        <v>132</v>
      </c>
      <c r="BE21" s="183">
        <v>4.8979514316799344</v>
      </c>
      <c r="BF21" s="183">
        <v>14.817363525477944</v>
      </c>
      <c r="BG21" s="183">
        <v>0.59166385149900058</v>
      </c>
      <c r="BH21" s="183">
        <v>2.9880310009875868</v>
      </c>
      <c r="BI21" s="150" t="s">
        <v>132</v>
      </c>
      <c r="BJ21" s="150" t="s">
        <v>132</v>
      </c>
      <c r="BK21" s="150" t="s">
        <v>132</v>
      </c>
      <c r="BL21" s="150" t="s">
        <v>132</v>
      </c>
      <c r="BM21" s="176">
        <v>177.23985134813915</v>
      </c>
      <c r="BN21" s="176">
        <v>96.029850075329279</v>
      </c>
      <c r="BO21" s="176">
        <v>21.843365325488733</v>
      </c>
      <c r="BP21" s="176">
        <v>7.7761112634082155</v>
      </c>
      <c r="BQ21" s="150" t="s">
        <v>132</v>
      </c>
      <c r="BR21" s="150" t="s">
        <v>132</v>
      </c>
      <c r="BS21" s="150" t="s">
        <v>132</v>
      </c>
      <c r="BT21" s="150" t="s">
        <v>132</v>
      </c>
      <c r="BU21" s="176">
        <v>13638.71454434835</v>
      </c>
      <c r="BV21" s="176">
        <v>11901.766728451659</v>
      </c>
      <c r="BW21" s="176">
        <v>841.39609390460066</v>
      </c>
      <c r="BX21" s="176">
        <v>421.49789464004482</v>
      </c>
      <c r="BY21" s="150" t="s">
        <v>132</v>
      </c>
      <c r="BZ21" s="150" t="s">
        <v>132</v>
      </c>
      <c r="CA21" s="150" t="s">
        <v>132</v>
      </c>
      <c r="CB21" s="192" t="s">
        <v>132</v>
      </c>
      <c r="CC21" s="189">
        <v>711.48713845898624</v>
      </c>
      <c r="CD21" s="189">
        <v>781.04261056475582</v>
      </c>
      <c r="CE21" s="189">
        <v>49.706723352367376</v>
      </c>
      <c r="CF21" s="189">
        <v>38.636817565474054</v>
      </c>
      <c r="CG21" s="190" t="s">
        <v>132</v>
      </c>
      <c r="CH21" s="190" t="s">
        <v>132</v>
      </c>
      <c r="CI21" s="190" t="s">
        <v>132</v>
      </c>
      <c r="CJ21" s="190" t="s">
        <v>132</v>
      </c>
      <c r="CK21" s="189">
        <v>462.08181960116741</v>
      </c>
      <c r="CL21" s="189">
        <v>327.91033395053074</v>
      </c>
      <c r="CM21" s="189">
        <v>192.46823481486621</v>
      </c>
      <c r="CN21" s="189">
        <v>57.255233562838306</v>
      </c>
      <c r="CO21" s="190" t="s">
        <v>132</v>
      </c>
      <c r="CP21" s="190" t="s">
        <v>132</v>
      </c>
      <c r="CQ21" s="190" t="s">
        <v>132</v>
      </c>
      <c r="CR21" s="190" t="s">
        <v>132</v>
      </c>
      <c r="CS21" s="189">
        <v>9045.8713208567187</v>
      </c>
      <c r="CT21" s="189">
        <v>11137.421825712077</v>
      </c>
      <c r="CU21" s="189">
        <v>1083.9490655580782</v>
      </c>
      <c r="CV21" s="189">
        <v>384.43992778638585</v>
      </c>
      <c r="CW21" s="190" t="s">
        <v>132</v>
      </c>
      <c r="CX21" s="190" t="s">
        <v>132</v>
      </c>
      <c r="CY21" s="190" t="s">
        <v>132</v>
      </c>
      <c r="CZ21" s="190" t="s">
        <v>132</v>
      </c>
      <c r="DA21" s="190" t="s">
        <v>132</v>
      </c>
      <c r="DB21" s="190" t="s">
        <v>132</v>
      </c>
      <c r="DC21" s="190" t="s">
        <v>132</v>
      </c>
      <c r="DD21" s="190" t="s">
        <v>132</v>
      </c>
      <c r="DE21" s="190" t="s">
        <v>132</v>
      </c>
      <c r="DF21" s="190" t="s">
        <v>132</v>
      </c>
      <c r="DG21" s="190" t="s">
        <v>132</v>
      </c>
      <c r="DH21" s="190" t="s">
        <v>132</v>
      </c>
    </row>
    <row r="22" spans="1:112">
      <c r="A22" s="150" t="s">
        <v>133</v>
      </c>
      <c r="B22" s="150">
        <v>8</v>
      </c>
      <c r="C22" s="150">
        <v>8</v>
      </c>
      <c r="D22" s="150" t="s">
        <v>231</v>
      </c>
      <c r="E22" s="150" t="s">
        <v>231</v>
      </c>
      <c r="F22" s="150">
        <v>63</v>
      </c>
      <c r="G22" s="150" t="s">
        <v>234</v>
      </c>
      <c r="H22" s="150" t="s">
        <v>137</v>
      </c>
      <c r="I22" s="150" t="s">
        <v>239</v>
      </c>
      <c r="J22" s="150" t="s">
        <v>239</v>
      </c>
      <c r="K22" s="151" t="s">
        <v>241</v>
      </c>
      <c r="L22" s="150" t="s">
        <v>284</v>
      </c>
      <c r="M22" s="150">
        <v>3.1</v>
      </c>
      <c r="N22" s="150">
        <v>29.5</v>
      </c>
      <c r="O22" s="150">
        <v>2.8</v>
      </c>
      <c r="P22" s="150">
        <v>12.2</v>
      </c>
      <c r="Q22" s="150">
        <v>159</v>
      </c>
      <c r="R22" s="150">
        <v>215</v>
      </c>
      <c r="S22" s="150">
        <f>2*8</f>
        <v>16</v>
      </c>
      <c r="T22" s="150">
        <f>2*11</f>
        <v>22</v>
      </c>
      <c r="U22" s="150" t="s">
        <v>132</v>
      </c>
      <c r="V22" s="150" t="s">
        <v>132</v>
      </c>
      <c r="W22" s="150" t="s">
        <v>132</v>
      </c>
      <c r="X22" s="150" t="s">
        <v>132</v>
      </c>
      <c r="Y22" s="152">
        <v>2162</v>
      </c>
      <c r="Z22" s="152">
        <v>3876</v>
      </c>
      <c r="AA22" s="152">
        <f>2*150</f>
        <v>300</v>
      </c>
      <c r="AB22" s="152">
        <f>2*177</f>
        <v>354</v>
      </c>
      <c r="AC22" s="150" t="s">
        <v>132</v>
      </c>
      <c r="AD22" s="150" t="s">
        <v>132</v>
      </c>
      <c r="AE22" s="150" t="s">
        <v>132</v>
      </c>
      <c r="AF22" s="150" t="s">
        <v>132</v>
      </c>
      <c r="AG22" s="152">
        <v>44</v>
      </c>
      <c r="AH22" s="152">
        <v>77</v>
      </c>
      <c r="AI22" s="152">
        <v>0.2</v>
      </c>
      <c r="AJ22" s="152">
        <v>24</v>
      </c>
      <c r="AK22" s="150" t="s">
        <v>132</v>
      </c>
      <c r="AL22" s="150" t="s">
        <v>132</v>
      </c>
      <c r="AM22" s="150" t="s">
        <v>132</v>
      </c>
      <c r="AN22" s="150" t="s">
        <v>132</v>
      </c>
      <c r="AO22" s="176">
        <v>23788.264922086357</v>
      </c>
      <c r="AP22" s="176">
        <v>24953.336021204188</v>
      </c>
      <c r="AQ22" s="176">
        <v>364.05362307115678</v>
      </c>
      <c r="AR22" s="176">
        <v>2407.1602848247317</v>
      </c>
      <c r="AS22" s="150" t="s">
        <v>132</v>
      </c>
      <c r="AT22" s="150" t="s">
        <v>132</v>
      </c>
      <c r="AU22" s="150" t="s">
        <v>132</v>
      </c>
      <c r="AV22" s="150" t="s">
        <v>132</v>
      </c>
      <c r="AW22" s="176">
        <v>41659.577228394504</v>
      </c>
      <c r="AX22" s="176">
        <v>41067.397866955049</v>
      </c>
      <c r="AY22" s="176">
        <v>1558.6177042327056</v>
      </c>
      <c r="AZ22" s="176">
        <v>2239.3118724694177</v>
      </c>
      <c r="BA22" s="150" t="s">
        <v>132</v>
      </c>
      <c r="BB22" s="150" t="s">
        <v>132</v>
      </c>
      <c r="BC22" s="150" t="s">
        <v>132</v>
      </c>
      <c r="BD22" s="150" t="s">
        <v>132</v>
      </c>
      <c r="BE22" s="183">
        <v>6.2731075957692415</v>
      </c>
      <c r="BF22" s="183">
        <v>13.790966632449614</v>
      </c>
      <c r="BG22" s="183">
        <v>1.0063053287624788</v>
      </c>
      <c r="BH22" s="183">
        <v>1.8156956152841837</v>
      </c>
      <c r="BI22" s="150" t="s">
        <v>132</v>
      </c>
      <c r="BJ22" s="150" t="s">
        <v>132</v>
      </c>
      <c r="BK22" s="150" t="s">
        <v>132</v>
      </c>
      <c r="BL22" s="150" t="s">
        <v>132</v>
      </c>
      <c r="BM22" s="176">
        <v>187.12353482595577</v>
      </c>
      <c r="BN22" s="176">
        <v>100.59671763100582</v>
      </c>
      <c r="BO22" s="176">
        <v>14.695199188441286</v>
      </c>
      <c r="BP22" s="176">
        <v>8.6377165931404942</v>
      </c>
      <c r="BQ22" s="150" t="s">
        <v>132</v>
      </c>
      <c r="BR22" s="150" t="s">
        <v>132</v>
      </c>
      <c r="BS22" s="150" t="s">
        <v>132</v>
      </c>
      <c r="BT22" s="150" t="s">
        <v>132</v>
      </c>
      <c r="BU22" s="176">
        <v>14065.53296605216</v>
      </c>
      <c r="BV22" s="176">
        <v>11894.731126780553</v>
      </c>
      <c r="BW22" s="176">
        <v>65.027115953641129</v>
      </c>
      <c r="BX22" s="176">
        <v>750.35824020877476</v>
      </c>
      <c r="BY22" s="150" t="s">
        <v>132</v>
      </c>
      <c r="BZ22" s="150" t="s">
        <v>132</v>
      </c>
      <c r="CA22" s="150" t="s">
        <v>132</v>
      </c>
      <c r="CB22" s="150" t="s">
        <v>132</v>
      </c>
      <c r="CC22" s="189">
        <v>663.28250394910617</v>
      </c>
      <c r="CD22" s="189">
        <v>837.3735400933848</v>
      </c>
      <c r="CE22" s="189">
        <v>109.34869006256329</v>
      </c>
      <c r="CF22" s="189">
        <v>98.78301922366353</v>
      </c>
      <c r="CG22" s="190" t="s">
        <v>132</v>
      </c>
      <c r="CH22" s="190" t="s">
        <v>132</v>
      </c>
      <c r="CI22" s="190" t="s">
        <v>132</v>
      </c>
      <c r="CJ22" s="190" t="s">
        <v>132</v>
      </c>
      <c r="CK22" s="189">
        <v>297.76547118800505</v>
      </c>
      <c r="CL22" s="189">
        <v>481.21118812329797</v>
      </c>
      <c r="CM22" s="189">
        <v>154.70561828407097</v>
      </c>
      <c r="CN22" s="189">
        <v>205.40626596537138</v>
      </c>
      <c r="CO22" s="190" t="s">
        <v>132</v>
      </c>
      <c r="CP22" s="190" t="s">
        <v>132</v>
      </c>
      <c r="CQ22" s="190" t="s">
        <v>132</v>
      </c>
      <c r="CR22" s="190" t="s">
        <v>132</v>
      </c>
      <c r="CS22" s="189">
        <v>8337.1490104965324</v>
      </c>
      <c r="CT22" s="189">
        <v>10182.62403330732</v>
      </c>
      <c r="CU22" s="189">
        <v>374.15283820078446</v>
      </c>
      <c r="CV22" s="189">
        <v>1171.1440924522731</v>
      </c>
      <c r="CW22" s="190" t="s">
        <v>132</v>
      </c>
      <c r="CX22" s="190" t="s">
        <v>132</v>
      </c>
      <c r="CY22" s="190" t="s">
        <v>132</v>
      </c>
      <c r="CZ22" s="190" t="s">
        <v>132</v>
      </c>
      <c r="DA22" s="190" t="s">
        <v>132</v>
      </c>
      <c r="DB22" s="190" t="s">
        <v>132</v>
      </c>
      <c r="DC22" s="190" t="s">
        <v>132</v>
      </c>
      <c r="DD22" s="190" t="s">
        <v>132</v>
      </c>
      <c r="DE22" s="190" t="s">
        <v>132</v>
      </c>
      <c r="DF22" s="190" t="s">
        <v>132</v>
      </c>
      <c r="DG22" s="190" t="s">
        <v>132</v>
      </c>
      <c r="DH22" s="190" t="s">
        <v>132</v>
      </c>
    </row>
    <row r="23" spans="1:112">
      <c r="A23" s="150" t="s">
        <v>133</v>
      </c>
      <c r="B23" s="150">
        <v>8</v>
      </c>
      <c r="C23" s="150">
        <v>8</v>
      </c>
      <c r="D23" s="150" t="s">
        <v>231</v>
      </c>
      <c r="E23" s="150" t="s">
        <v>231</v>
      </c>
      <c r="F23" s="150">
        <v>63</v>
      </c>
      <c r="G23" s="150" t="s">
        <v>234</v>
      </c>
      <c r="H23" s="150" t="s">
        <v>137</v>
      </c>
      <c r="I23" s="150" t="s">
        <v>240</v>
      </c>
      <c r="J23" s="150" t="s">
        <v>240</v>
      </c>
      <c r="K23" s="151" t="s">
        <v>241</v>
      </c>
      <c r="L23" s="150" t="s">
        <v>284</v>
      </c>
      <c r="M23" s="150">
        <v>5.4</v>
      </c>
      <c r="N23" s="150">
        <v>19.399999999999999</v>
      </c>
      <c r="O23" s="150">
        <v>5.0999999999999996</v>
      </c>
      <c r="P23" s="150">
        <v>3.4</v>
      </c>
      <c r="Q23" s="150">
        <v>178</v>
      </c>
      <c r="R23" s="150">
        <v>197</v>
      </c>
      <c r="S23" s="150">
        <f>2*10</f>
        <v>20</v>
      </c>
      <c r="T23" s="150">
        <f>2*11</f>
        <v>22</v>
      </c>
      <c r="U23" s="150" t="s">
        <v>132</v>
      </c>
      <c r="V23" s="150" t="s">
        <v>132</v>
      </c>
      <c r="W23" s="150" t="s">
        <v>132</v>
      </c>
      <c r="X23" s="150" t="s">
        <v>132</v>
      </c>
      <c r="Y23" s="152">
        <v>2054</v>
      </c>
      <c r="Z23" s="152">
        <v>4118</v>
      </c>
      <c r="AA23" s="152">
        <f>2*162</f>
        <v>324</v>
      </c>
      <c r="AB23" s="152">
        <f>2*181</f>
        <v>362</v>
      </c>
      <c r="AC23" s="150" t="s">
        <v>132</v>
      </c>
      <c r="AD23" s="150" t="s">
        <v>132</v>
      </c>
      <c r="AE23" s="150" t="s">
        <v>132</v>
      </c>
      <c r="AF23" s="150" t="s">
        <v>132</v>
      </c>
      <c r="AG23" s="152">
        <v>43</v>
      </c>
      <c r="AH23" s="152">
        <v>64</v>
      </c>
      <c r="AI23" s="152">
        <v>4</v>
      </c>
      <c r="AJ23" s="152">
        <v>2</v>
      </c>
      <c r="AK23" s="150" t="s">
        <v>132</v>
      </c>
      <c r="AL23" s="150" t="s">
        <v>132</v>
      </c>
      <c r="AM23" s="150" t="s">
        <v>132</v>
      </c>
      <c r="AN23" s="150" t="s">
        <v>132</v>
      </c>
      <c r="AO23" s="176">
        <v>23072.80421645489</v>
      </c>
      <c r="AP23" s="176">
        <v>26125.462964323426</v>
      </c>
      <c r="AQ23" s="176">
        <v>1479.4024716918025</v>
      </c>
      <c r="AR23" s="176">
        <v>860.73192001872496</v>
      </c>
      <c r="AS23" s="150" t="s">
        <v>132</v>
      </c>
      <c r="AT23" s="150" t="s">
        <v>132</v>
      </c>
      <c r="AU23" s="150" t="s">
        <v>132</v>
      </c>
      <c r="AV23" s="150" t="s">
        <v>132</v>
      </c>
      <c r="AW23" s="176">
        <v>43242.182798821501</v>
      </c>
      <c r="AX23" s="176">
        <v>41766.082324702162</v>
      </c>
      <c r="AY23" s="176">
        <v>1437.6943545594402</v>
      </c>
      <c r="AZ23" s="176">
        <v>2522.6474826638732</v>
      </c>
      <c r="BA23" s="150" t="s">
        <v>132</v>
      </c>
      <c r="BB23" s="150" t="s">
        <v>132</v>
      </c>
      <c r="BC23" s="150" t="s">
        <v>132</v>
      </c>
      <c r="BD23" s="150" t="s">
        <v>132</v>
      </c>
      <c r="BE23" s="183">
        <v>2.9293607849300405</v>
      </c>
      <c r="BF23" s="183">
        <v>15.611923864683664</v>
      </c>
      <c r="BG23" s="183">
        <v>1.5752974065200973</v>
      </c>
      <c r="BH23" s="183">
        <v>1.582794751366577</v>
      </c>
      <c r="BI23" s="150" t="s">
        <v>132</v>
      </c>
      <c r="BJ23" s="150" t="s">
        <v>132</v>
      </c>
      <c r="BK23" s="150" t="s">
        <v>132</v>
      </c>
      <c r="BL23" s="150" t="s">
        <v>132</v>
      </c>
      <c r="BM23" s="176">
        <v>186.62651370034664</v>
      </c>
      <c r="BN23" s="176">
        <v>96.773539943694942</v>
      </c>
      <c r="BO23" s="176">
        <v>11.479131595611847</v>
      </c>
      <c r="BP23" s="176">
        <v>11.487754110722333</v>
      </c>
      <c r="BQ23" s="150" t="s">
        <v>132</v>
      </c>
      <c r="BR23" s="150" t="s">
        <v>132</v>
      </c>
      <c r="BS23" s="150" t="s">
        <v>132</v>
      </c>
      <c r="BT23" s="150" t="s">
        <v>132</v>
      </c>
      <c r="BU23" s="176">
        <v>13700.899675089517</v>
      </c>
      <c r="BV23" s="176">
        <v>11610.094272872959</v>
      </c>
      <c r="BW23" s="176">
        <v>703.46602348883346</v>
      </c>
      <c r="BX23" s="176">
        <v>328.94790336827668</v>
      </c>
      <c r="BY23" s="150" t="s">
        <v>132</v>
      </c>
      <c r="BZ23" s="150" t="s">
        <v>132</v>
      </c>
      <c r="CA23" s="150" t="s">
        <v>132</v>
      </c>
      <c r="CB23" s="150" t="s">
        <v>132</v>
      </c>
      <c r="CC23" s="189">
        <v>668.17343589953521</v>
      </c>
      <c r="CD23" s="189">
        <v>742.43959304963028</v>
      </c>
      <c r="CE23" s="189">
        <v>73.287733029232527</v>
      </c>
      <c r="CF23" s="189">
        <v>12.854081289028869</v>
      </c>
      <c r="CG23" s="190" t="s">
        <v>132</v>
      </c>
      <c r="CH23" s="190" t="s">
        <v>132</v>
      </c>
      <c r="CI23" s="190" t="s">
        <v>132</v>
      </c>
      <c r="CJ23" s="190" t="s">
        <v>132</v>
      </c>
      <c r="CK23" s="189">
        <v>348.79718748928724</v>
      </c>
      <c r="CL23" s="189">
        <v>378.54262790461223</v>
      </c>
      <c r="CM23" s="189">
        <v>137.49166611536737</v>
      </c>
      <c r="CN23" s="189">
        <v>59.757472276862984</v>
      </c>
      <c r="CO23" s="190" t="s">
        <v>132</v>
      </c>
      <c r="CP23" s="190" t="s">
        <v>132</v>
      </c>
      <c r="CQ23" s="190" t="s">
        <v>132</v>
      </c>
      <c r="CR23" s="190" t="s">
        <v>132</v>
      </c>
      <c r="CS23" s="189">
        <v>8881.6620027953904</v>
      </c>
      <c r="CT23" s="189">
        <v>11066.637487452297</v>
      </c>
      <c r="CU23" s="189">
        <v>627.96934992589206</v>
      </c>
      <c r="CV23" s="189">
        <v>263.75350749815783</v>
      </c>
      <c r="CW23" s="190" t="s">
        <v>132</v>
      </c>
      <c r="CX23" s="190" t="s">
        <v>132</v>
      </c>
      <c r="CY23" s="190" t="s">
        <v>132</v>
      </c>
      <c r="CZ23" s="190" t="s">
        <v>132</v>
      </c>
      <c r="DA23" s="190" t="s">
        <v>132</v>
      </c>
      <c r="DB23" s="190" t="s">
        <v>132</v>
      </c>
      <c r="DC23" s="190" t="s">
        <v>132</v>
      </c>
      <c r="DD23" s="190" t="s">
        <v>132</v>
      </c>
      <c r="DE23" s="190" t="s">
        <v>132</v>
      </c>
      <c r="DF23" s="190" t="s">
        <v>132</v>
      </c>
      <c r="DG23" s="190" t="s">
        <v>132</v>
      </c>
      <c r="DH23" s="190" t="s">
        <v>132</v>
      </c>
    </row>
    <row r="24" spans="1:112">
      <c r="A24" s="150" t="s">
        <v>133</v>
      </c>
      <c r="B24" s="150">
        <v>8</v>
      </c>
      <c r="C24" s="150">
        <v>8</v>
      </c>
      <c r="D24" s="150" t="s">
        <v>231</v>
      </c>
      <c r="E24" s="150" t="s">
        <v>231</v>
      </c>
      <c r="F24" s="150">
        <v>63</v>
      </c>
      <c r="G24" s="150" t="s">
        <v>234</v>
      </c>
      <c r="H24" s="150" t="s">
        <v>137</v>
      </c>
      <c r="I24" s="150" t="s">
        <v>239</v>
      </c>
      <c r="J24" s="150" t="s">
        <v>239</v>
      </c>
      <c r="K24" s="151" t="s">
        <v>241</v>
      </c>
      <c r="L24" s="150" t="s">
        <v>284</v>
      </c>
      <c r="M24" s="150">
        <v>3.4</v>
      </c>
      <c r="N24" s="150">
        <v>25.4</v>
      </c>
      <c r="O24" s="150">
        <v>1.7</v>
      </c>
      <c r="P24" s="150">
        <v>8.8000000000000007</v>
      </c>
      <c r="Q24" s="150">
        <v>180</v>
      </c>
      <c r="R24" s="150">
        <v>183</v>
      </c>
      <c r="S24" s="150">
        <f>2*11</f>
        <v>22</v>
      </c>
      <c r="T24" s="150">
        <f>2*14</f>
        <v>28</v>
      </c>
      <c r="U24" s="150" t="s">
        <v>132</v>
      </c>
      <c r="V24" s="150" t="s">
        <v>132</v>
      </c>
      <c r="W24" s="150" t="s">
        <v>132</v>
      </c>
      <c r="X24" s="150" t="s">
        <v>132</v>
      </c>
      <c r="Y24" s="152">
        <v>2151</v>
      </c>
      <c r="Z24" s="152">
        <v>3163</v>
      </c>
      <c r="AA24" s="152">
        <f>2*293</f>
        <v>586</v>
      </c>
      <c r="AB24" s="152">
        <f>2*199</f>
        <v>398</v>
      </c>
      <c r="AC24" s="150" t="s">
        <v>132</v>
      </c>
      <c r="AD24" s="150" t="s">
        <v>132</v>
      </c>
      <c r="AE24" s="150" t="s">
        <v>132</v>
      </c>
      <c r="AF24" s="150" t="s">
        <v>132</v>
      </c>
      <c r="AG24" s="152">
        <v>42</v>
      </c>
      <c r="AH24" s="152">
        <v>55</v>
      </c>
      <c r="AI24" s="152">
        <v>8</v>
      </c>
      <c r="AJ24" s="152">
        <v>8</v>
      </c>
      <c r="AK24" s="150" t="s">
        <v>132</v>
      </c>
      <c r="AL24" s="150" t="s">
        <v>132</v>
      </c>
      <c r="AM24" s="150" t="s">
        <v>132</v>
      </c>
      <c r="AN24" s="150" t="s">
        <v>132</v>
      </c>
      <c r="AO24" s="176">
        <v>23904.832614895131</v>
      </c>
      <c r="AP24" s="176">
        <v>22054.64537233617</v>
      </c>
      <c r="AQ24" s="176">
        <v>2554.3186262656</v>
      </c>
      <c r="AR24" s="176">
        <v>3028.9001688717735</v>
      </c>
      <c r="AS24" s="150" t="s">
        <v>132</v>
      </c>
      <c r="AT24" s="150" t="s">
        <v>132</v>
      </c>
      <c r="AU24" s="150" t="s">
        <v>132</v>
      </c>
      <c r="AV24" s="150" t="s">
        <v>132</v>
      </c>
      <c r="AW24" s="176">
        <v>42627.907679987402</v>
      </c>
      <c r="AX24" s="176">
        <v>37554.205503027471</v>
      </c>
      <c r="AY24" s="176">
        <v>3181.3371046240745</v>
      </c>
      <c r="AZ24" s="176">
        <v>5361.4023492187634</v>
      </c>
      <c r="BA24" s="150" t="s">
        <v>132</v>
      </c>
      <c r="BB24" s="150" t="s">
        <v>132</v>
      </c>
      <c r="BC24" s="150" t="s">
        <v>132</v>
      </c>
      <c r="BD24" s="150" t="s">
        <v>132</v>
      </c>
      <c r="BE24" s="183">
        <v>3.4700173085728663</v>
      </c>
      <c r="BF24" s="183">
        <v>8.7080915362931002</v>
      </c>
      <c r="BG24" s="183">
        <v>2.467830278808218</v>
      </c>
      <c r="BH24" s="183">
        <v>2.1604008094028098</v>
      </c>
      <c r="BI24" s="150" t="s">
        <v>132</v>
      </c>
      <c r="BJ24" s="150" t="s">
        <v>132</v>
      </c>
      <c r="BK24" s="150" t="s">
        <v>132</v>
      </c>
      <c r="BL24" s="150" t="s">
        <v>132</v>
      </c>
      <c r="BM24" s="176">
        <v>171.70826343115709</v>
      </c>
      <c r="BN24" s="176">
        <v>100.07658607345272</v>
      </c>
      <c r="BO24" s="176">
        <v>19.820421246056878</v>
      </c>
      <c r="BP24" s="176">
        <v>28.471154430222938</v>
      </c>
      <c r="BQ24" s="150" t="s">
        <v>132</v>
      </c>
      <c r="BR24" s="150" t="s">
        <v>132</v>
      </c>
      <c r="BS24" s="150" t="s">
        <v>132</v>
      </c>
      <c r="BT24" s="150" t="s">
        <v>132</v>
      </c>
      <c r="BU24" s="176">
        <v>13697.395677246079</v>
      </c>
      <c r="BV24" s="176">
        <v>10973.987288381239</v>
      </c>
      <c r="BW24" s="176">
        <v>488.25668537021534</v>
      </c>
      <c r="BX24" s="176">
        <v>1711.6696794195236</v>
      </c>
      <c r="BY24" s="150" t="s">
        <v>132</v>
      </c>
      <c r="BZ24" s="150" t="s">
        <v>132</v>
      </c>
      <c r="CA24" s="150" t="s">
        <v>132</v>
      </c>
      <c r="CB24" s="150" t="s">
        <v>132</v>
      </c>
      <c r="CC24" s="189">
        <v>712.78330655596153</v>
      </c>
      <c r="CD24" s="189">
        <v>742.20887061236203</v>
      </c>
      <c r="CE24" s="189">
        <v>83.029394209470411</v>
      </c>
      <c r="CF24" s="189">
        <v>40.519529780100669</v>
      </c>
      <c r="CG24" s="190" t="s">
        <v>132</v>
      </c>
      <c r="CH24" s="190" t="s">
        <v>132</v>
      </c>
      <c r="CI24" s="190" t="s">
        <v>132</v>
      </c>
      <c r="CJ24" s="190" t="s">
        <v>132</v>
      </c>
      <c r="CK24" s="189">
        <v>285.8539196575984</v>
      </c>
      <c r="CL24" s="189">
        <v>261.48297094074923</v>
      </c>
      <c r="CM24" s="189">
        <v>62.490947006601282</v>
      </c>
      <c r="CN24" s="189">
        <v>49.99655925930599</v>
      </c>
      <c r="CO24" s="190" t="s">
        <v>132</v>
      </c>
      <c r="CP24" s="190" t="s">
        <v>132</v>
      </c>
      <c r="CQ24" s="190" t="s">
        <v>132</v>
      </c>
      <c r="CR24" s="190" t="s">
        <v>132</v>
      </c>
      <c r="CS24" s="189">
        <v>8407.4958337974931</v>
      </c>
      <c r="CT24" s="189">
        <v>9360.4455263852542</v>
      </c>
      <c r="CU24" s="189">
        <v>332.35309393668842</v>
      </c>
      <c r="CV24" s="189">
        <v>1210.1790658624925</v>
      </c>
      <c r="CW24" s="190" t="s">
        <v>132</v>
      </c>
      <c r="CX24" s="190" t="s">
        <v>132</v>
      </c>
      <c r="CY24" s="190" t="s">
        <v>132</v>
      </c>
      <c r="CZ24" s="190" t="s">
        <v>132</v>
      </c>
      <c r="DA24" s="190" t="s">
        <v>132</v>
      </c>
      <c r="DB24" s="190" t="s">
        <v>132</v>
      </c>
      <c r="DC24" s="190" t="s">
        <v>132</v>
      </c>
      <c r="DD24" s="190" t="s">
        <v>132</v>
      </c>
      <c r="DE24" s="190" t="s">
        <v>132</v>
      </c>
      <c r="DF24" s="190" t="s">
        <v>132</v>
      </c>
      <c r="DG24" s="190" t="s">
        <v>132</v>
      </c>
      <c r="DH24" s="190" t="s">
        <v>132</v>
      </c>
    </row>
    <row r="25" spans="1:112">
      <c r="A25" s="150" t="s">
        <v>134</v>
      </c>
      <c r="B25" s="150">
        <v>4</v>
      </c>
      <c r="C25" s="150">
        <v>4</v>
      </c>
      <c r="D25" s="150" t="s">
        <v>231</v>
      </c>
      <c r="E25" s="150" t="s">
        <v>231</v>
      </c>
      <c r="F25" s="150">
        <v>72</v>
      </c>
      <c r="G25" s="150" t="s">
        <v>235</v>
      </c>
      <c r="H25" s="150" t="s">
        <v>136</v>
      </c>
      <c r="I25" s="150" t="s">
        <v>240</v>
      </c>
      <c r="J25" s="150" t="s">
        <v>240</v>
      </c>
      <c r="K25" s="151" t="s">
        <v>241</v>
      </c>
      <c r="L25" s="150" t="s">
        <v>284</v>
      </c>
      <c r="M25" s="150">
        <v>1</v>
      </c>
      <c r="N25" s="150">
        <v>79.33</v>
      </c>
      <c r="O25" s="150">
        <v>1.1499999999999999</v>
      </c>
      <c r="P25" s="150">
        <v>12.36</v>
      </c>
      <c r="Q25" s="158">
        <v>1.578325</v>
      </c>
      <c r="R25" s="158">
        <f>4.86*2</f>
        <v>9.7200000000000006</v>
      </c>
      <c r="S25" s="158">
        <f>2*0.160077477985922</f>
        <v>0.32015495597184401</v>
      </c>
      <c r="T25" s="158">
        <f>R25/10</f>
        <v>0.97200000000000009</v>
      </c>
      <c r="U25" s="159">
        <v>0.706522700578467</v>
      </c>
      <c r="V25" s="159">
        <v>0.6704</v>
      </c>
      <c r="W25" s="159">
        <f>2*0.0822784913262188</f>
        <v>0.16455698265243759</v>
      </c>
      <c r="X25" s="150">
        <f>V25/10</f>
        <v>6.7040000000000002E-2</v>
      </c>
      <c r="Y25" s="160">
        <v>1302.160109561753</v>
      </c>
      <c r="Z25" s="178">
        <v>3075.6</v>
      </c>
      <c r="AA25" s="161">
        <f>2*97.9834382290185</f>
        <v>195.96687645803701</v>
      </c>
      <c r="AB25" s="156">
        <f>Z25/10</f>
        <v>307.56</v>
      </c>
      <c r="AC25" s="161">
        <v>1978.8023935321601</v>
      </c>
      <c r="AD25" s="162">
        <v>3039.7</v>
      </c>
      <c r="AE25" s="161">
        <f>2*218.65402927811</f>
        <v>437.30805855621998</v>
      </c>
      <c r="AF25" s="150">
        <f>AD25/10</f>
        <v>303.96999999999997</v>
      </c>
      <c r="AG25" s="150">
        <v>34.799999999999997</v>
      </c>
      <c r="AH25" s="150">
        <v>56.9</v>
      </c>
      <c r="AI25" s="150">
        <v>7.5</v>
      </c>
      <c r="AJ25" s="150">
        <f>AH25/10</f>
        <v>5.6899999999999995</v>
      </c>
      <c r="AK25" s="150">
        <v>45.9</v>
      </c>
      <c r="AL25" s="150">
        <v>99.9</v>
      </c>
      <c r="AM25" s="150">
        <v>2.2999999999999998</v>
      </c>
      <c r="AN25" s="150">
        <f>AL25/10</f>
        <v>9.99</v>
      </c>
      <c r="AO25" s="150" t="s">
        <v>132</v>
      </c>
      <c r="AP25" s="150" t="s">
        <v>132</v>
      </c>
      <c r="AQ25" s="150" t="s">
        <v>132</v>
      </c>
      <c r="AR25" s="150" t="s">
        <v>132</v>
      </c>
      <c r="AS25" s="150" t="s">
        <v>132</v>
      </c>
      <c r="AT25" s="150" t="s">
        <v>132</v>
      </c>
      <c r="AU25" s="150" t="s">
        <v>132</v>
      </c>
      <c r="AV25" s="150" t="s">
        <v>132</v>
      </c>
      <c r="AW25" s="150" t="s">
        <v>132</v>
      </c>
      <c r="AX25" s="150" t="s">
        <v>132</v>
      </c>
      <c r="AY25" s="150" t="s">
        <v>132</v>
      </c>
      <c r="AZ25" s="150" t="s">
        <v>132</v>
      </c>
      <c r="BA25" s="150" t="s">
        <v>132</v>
      </c>
      <c r="BB25" s="150" t="s">
        <v>132</v>
      </c>
      <c r="BC25" s="150" t="s">
        <v>132</v>
      </c>
      <c r="BD25" s="150" t="s">
        <v>132</v>
      </c>
      <c r="BE25" s="150" t="s">
        <v>132</v>
      </c>
      <c r="BF25" s="150" t="s">
        <v>132</v>
      </c>
      <c r="BG25" s="150" t="s">
        <v>132</v>
      </c>
      <c r="BH25" s="150" t="s">
        <v>132</v>
      </c>
      <c r="BI25" s="150" t="s">
        <v>132</v>
      </c>
      <c r="BJ25" s="150" t="s">
        <v>132</v>
      </c>
      <c r="BK25" s="150" t="s">
        <v>132</v>
      </c>
      <c r="BL25" s="150" t="s">
        <v>132</v>
      </c>
      <c r="BM25" s="150" t="s">
        <v>132</v>
      </c>
      <c r="BN25" s="150" t="s">
        <v>132</v>
      </c>
      <c r="BO25" s="150" t="s">
        <v>132</v>
      </c>
      <c r="BP25" s="150" t="s">
        <v>132</v>
      </c>
      <c r="BQ25" s="150" t="s">
        <v>132</v>
      </c>
      <c r="BR25" s="150" t="s">
        <v>132</v>
      </c>
      <c r="BS25" s="150" t="s">
        <v>132</v>
      </c>
      <c r="BT25" s="150" t="s">
        <v>132</v>
      </c>
      <c r="BU25" s="150" t="s">
        <v>132</v>
      </c>
      <c r="BV25" s="150" t="s">
        <v>132</v>
      </c>
      <c r="BW25" s="150" t="s">
        <v>132</v>
      </c>
      <c r="BX25" s="150" t="s">
        <v>132</v>
      </c>
      <c r="BY25" s="150" t="s">
        <v>132</v>
      </c>
      <c r="BZ25" s="150" t="s">
        <v>132</v>
      </c>
      <c r="CA25" s="150" t="s">
        <v>132</v>
      </c>
      <c r="CB25" s="150" t="s">
        <v>132</v>
      </c>
      <c r="CC25" s="190" t="s">
        <v>132</v>
      </c>
      <c r="CD25" s="190" t="s">
        <v>132</v>
      </c>
      <c r="CE25" s="190" t="s">
        <v>132</v>
      </c>
      <c r="CF25" s="190" t="s">
        <v>132</v>
      </c>
      <c r="CG25" s="190" t="s">
        <v>132</v>
      </c>
      <c r="CH25" s="190" t="s">
        <v>132</v>
      </c>
      <c r="CI25" s="190" t="s">
        <v>132</v>
      </c>
      <c r="CJ25" s="190" t="s">
        <v>132</v>
      </c>
      <c r="CK25" s="190" t="s">
        <v>132</v>
      </c>
      <c r="CL25" s="190" t="s">
        <v>132</v>
      </c>
      <c r="CM25" s="190" t="s">
        <v>132</v>
      </c>
      <c r="CN25" s="190" t="s">
        <v>132</v>
      </c>
      <c r="CO25" s="190" t="s">
        <v>132</v>
      </c>
      <c r="CP25" s="190" t="s">
        <v>132</v>
      </c>
      <c r="CQ25" s="190" t="s">
        <v>132</v>
      </c>
      <c r="CR25" s="190" t="s">
        <v>132</v>
      </c>
      <c r="CS25" s="190" t="s">
        <v>132</v>
      </c>
      <c r="CT25" s="190" t="s">
        <v>132</v>
      </c>
      <c r="CU25" s="190" t="s">
        <v>132</v>
      </c>
      <c r="CV25" s="190" t="s">
        <v>132</v>
      </c>
      <c r="CW25" s="190" t="s">
        <v>132</v>
      </c>
      <c r="CX25" s="190" t="s">
        <v>132</v>
      </c>
      <c r="CY25" s="190" t="s">
        <v>132</v>
      </c>
      <c r="CZ25" s="190" t="s">
        <v>132</v>
      </c>
      <c r="DA25" s="190" t="s">
        <v>132</v>
      </c>
      <c r="DB25" s="190" t="s">
        <v>132</v>
      </c>
      <c r="DC25" s="190" t="s">
        <v>132</v>
      </c>
      <c r="DD25" s="190" t="s">
        <v>132</v>
      </c>
      <c r="DE25" s="190" t="s">
        <v>132</v>
      </c>
      <c r="DF25" s="190" t="s">
        <v>132</v>
      </c>
      <c r="DG25" s="190" t="s">
        <v>132</v>
      </c>
      <c r="DH25" s="190" t="s">
        <v>132</v>
      </c>
    </row>
    <row r="26" spans="1:112">
      <c r="A26" s="150" t="s">
        <v>135</v>
      </c>
      <c r="B26" s="150">
        <v>6</v>
      </c>
      <c r="C26" s="150">
        <v>6</v>
      </c>
      <c r="D26" s="150" t="s">
        <v>231</v>
      </c>
      <c r="E26" s="150" t="s">
        <v>231</v>
      </c>
      <c r="F26" s="150">
        <v>79</v>
      </c>
      <c r="G26" s="150" t="s">
        <v>235</v>
      </c>
      <c r="H26" s="150" t="s">
        <v>136</v>
      </c>
      <c r="I26" s="150" t="s">
        <v>239</v>
      </c>
      <c r="J26" s="150" t="s">
        <v>239</v>
      </c>
      <c r="K26" s="150" t="s">
        <v>240</v>
      </c>
      <c r="L26" s="150" t="s">
        <v>284</v>
      </c>
      <c r="M26" s="150">
        <v>0</v>
      </c>
      <c r="N26" s="150">
        <v>18.899999999999999</v>
      </c>
      <c r="O26" s="150">
        <v>0</v>
      </c>
      <c r="P26" s="150">
        <f>N26/10</f>
        <v>1.89</v>
      </c>
      <c r="Q26" s="163">
        <v>4.4443000000000001</v>
      </c>
      <c r="R26" s="163">
        <v>4.5200500000000003</v>
      </c>
      <c r="S26" s="163">
        <f>2.4495*0.125877342414484</f>
        <v>0.30833655024427858</v>
      </c>
      <c r="T26" s="163">
        <f>2.4495*0.145838396293066</f>
        <v>0.35723115171986514</v>
      </c>
      <c r="U26" s="150">
        <v>1.395</v>
      </c>
      <c r="V26" s="150">
        <v>1.147</v>
      </c>
      <c r="W26" s="150">
        <f>U26/10</f>
        <v>0.13950000000000001</v>
      </c>
      <c r="X26" s="150">
        <f t="shared" ref="X26:X27" si="1">V26/10</f>
        <v>0.1147</v>
      </c>
      <c r="Y26" s="164">
        <v>5013.5029501666659</v>
      </c>
      <c r="Z26" s="164">
        <v>5866.6504808333339</v>
      </c>
      <c r="AA26" s="164">
        <f>2.4495*80.2894043299002</f>
        <v>196.66889590609051</v>
      </c>
      <c r="AB26" s="164">
        <f>2.4495*52.8892865793993</f>
        <v>129.55230747623858</v>
      </c>
      <c r="AC26" s="150" t="s">
        <v>132</v>
      </c>
      <c r="AD26" s="150" t="s">
        <v>132</v>
      </c>
      <c r="AE26" s="150" t="s">
        <v>132</v>
      </c>
      <c r="AF26" s="150" t="s">
        <v>132</v>
      </c>
      <c r="AG26" s="150">
        <v>29.3</v>
      </c>
      <c r="AH26" s="150">
        <v>41.2</v>
      </c>
      <c r="AI26" s="150">
        <v>3.76</v>
      </c>
      <c r="AJ26" s="150">
        <v>4.5</v>
      </c>
      <c r="AK26" s="150" t="s">
        <v>132</v>
      </c>
      <c r="AL26" s="150" t="s">
        <v>132</v>
      </c>
      <c r="AM26" s="150" t="s">
        <v>132</v>
      </c>
      <c r="AN26" s="150" t="s">
        <v>132</v>
      </c>
      <c r="AO26" s="179">
        <v>21773.022083333333</v>
      </c>
      <c r="AP26" s="179">
        <v>22152.729953333332</v>
      </c>
      <c r="AQ26" s="161">
        <f>AO26/10</f>
        <v>2177.3022083333335</v>
      </c>
      <c r="AR26" s="161">
        <f>AP26/10</f>
        <v>2215.2729953333333</v>
      </c>
      <c r="AS26" s="150" t="s">
        <v>132</v>
      </c>
      <c r="AT26" s="150" t="s">
        <v>132</v>
      </c>
      <c r="AU26" s="150" t="s">
        <v>132</v>
      </c>
      <c r="AV26" s="150" t="s">
        <v>132</v>
      </c>
      <c r="AW26" s="179">
        <v>14178.35585</v>
      </c>
      <c r="AX26" s="179">
        <v>14786.660545000001</v>
      </c>
      <c r="AY26" s="161">
        <f>AW26/10</f>
        <v>1417.835585</v>
      </c>
      <c r="AZ26" s="161">
        <f>AX26/10</f>
        <v>1478.6660545</v>
      </c>
      <c r="BA26" s="150" t="s">
        <v>132</v>
      </c>
      <c r="BB26" s="150" t="s">
        <v>132</v>
      </c>
      <c r="BC26" s="150" t="s">
        <v>132</v>
      </c>
      <c r="BD26" s="150" t="s">
        <v>132</v>
      </c>
      <c r="BE26" s="150" t="s">
        <v>132</v>
      </c>
      <c r="BF26" s="150" t="s">
        <v>132</v>
      </c>
      <c r="BG26" s="150" t="s">
        <v>132</v>
      </c>
      <c r="BH26" s="150" t="s">
        <v>132</v>
      </c>
      <c r="BI26" s="150" t="s">
        <v>132</v>
      </c>
      <c r="BJ26" s="150" t="s">
        <v>132</v>
      </c>
      <c r="BK26" s="150" t="s">
        <v>132</v>
      </c>
      <c r="BL26" s="150" t="s">
        <v>132</v>
      </c>
      <c r="BM26" s="179">
        <v>32.096746320000001</v>
      </c>
      <c r="BN26" s="179">
        <v>33.932805333333327</v>
      </c>
      <c r="BO26" s="160">
        <f>BM26/10</f>
        <v>3.209674632</v>
      </c>
      <c r="BP26" s="160">
        <f>BN26/10</f>
        <v>3.3932805333333329</v>
      </c>
      <c r="BQ26" s="150" t="s">
        <v>132</v>
      </c>
      <c r="BR26" s="150" t="s">
        <v>132</v>
      </c>
      <c r="BS26" s="150" t="s">
        <v>132</v>
      </c>
      <c r="BT26" s="150" t="s">
        <v>132</v>
      </c>
      <c r="BU26" s="179">
        <v>5080.714015999999</v>
      </c>
      <c r="BV26" s="179">
        <v>5729.7497309999999</v>
      </c>
      <c r="BW26" s="161">
        <f>BU26/10</f>
        <v>508.07140159999989</v>
      </c>
      <c r="BX26" s="161">
        <f>BV26/10</f>
        <v>572.97497309999994</v>
      </c>
      <c r="BY26" s="150" t="s">
        <v>132</v>
      </c>
      <c r="BZ26" s="150" t="s">
        <v>132</v>
      </c>
      <c r="CA26" s="150" t="s">
        <v>132</v>
      </c>
      <c r="CB26" s="150" t="s">
        <v>132</v>
      </c>
      <c r="CC26" s="191">
        <v>234.51711276666671</v>
      </c>
      <c r="CD26" s="191">
        <v>220.3803297333333</v>
      </c>
      <c r="CE26" s="190">
        <v>23.451711276666671</v>
      </c>
      <c r="CF26" s="190">
        <v>22.03803297333333</v>
      </c>
      <c r="CG26" s="190" t="s">
        <v>132</v>
      </c>
      <c r="CH26" s="190" t="s">
        <v>132</v>
      </c>
      <c r="CI26" s="190" t="s">
        <v>132</v>
      </c>
      <c r="CJ26" s="190" t="s">
        <v>132</v>
      </c>
      <c r="CK26" s="191">
        <v>52.751695131666672</v>
      </c>
      <c r="CL26" s="191">
        <v>56.734869123333333</v>
      </c>
      <c r="CM26" s="190">
        <v>5.2751695131666674</v>
      </c>
      <c r="CN26" s="190">
        <v>5.6734869123333329</v>
      </c>
      <c r="CO26" s="190" t="s">
        <v>132</v>
      </c>
      <c r="CP26" s="190" t="s">
        <v>132</v>
      </c>
      <c r="CQ26" s="190" t="s">
        <v>132</v>
      </c>
      <c r="CR26" s="190" t="s">
        <v>132</v>
      </c>
      <c r="CS26" s="191">
        <v>6681.2406298333335</v>
      </c>
      <c r="CT26" s="191">
        <v>8058.5486051666667</v>
      </c>
      <c r="CU26" s="190">
        <v>668.12406298333337</v>
      </c>
      <c r="CV26" s="190">
        <v>805.85486051666669</v>
      </c>
      <c r="CW26" s="190" t="s">
        <v>132</v>
      </c>
      <c r="CX26" s="190" t="s">
        <v>132</v>
      </c>
      <c r="CY26" s="190" t="s">
        <v>132</v>
      </c>
      <c r="CZ26" s="190" t="s">
        <v>132</v>
      </c>
      <c r="DA26" s="191">
        <v>32.479599314999994</v>
      </c>
      <c r="DB26" s="191">
        <v>35.583625253333338</v>
      </c>
      <c r="DC26" s="190">
        <v>3.2479599314999996</v>
      </c>
      <c r="DD26" s="190">
        <v>3.558362525333334</v>
      </c>
      <c r="DE26" s="190" t="s">
        <v>132</v>
      </c>
      <c r="DF26" s="190" t="s">
        <v>132</v>
      </c>
      <c r="DG26" s="190" t="s">
        <v>132</v>
      </c>
      <c r="DH26" s="190" t="s">
        <v>132</v>
      </c>
    </row>
    <row r="27" spans="1:112">
      <c r="A27" s="150" t="s">
        <v>135</v>
      </c>
      <c r="B27" s="150">
        <v>6</v>
      </c>
      <c r="C27" s="150">
        <v>6</v>
      </c>
      <c r="D27" s="150" t="s">
        <v>231</v>
      </c>
      <c r="E27" s="150" t="s">
        <v>231</v>
      </c>
      <c r="F27" s="150">
        <v>79</v>
      </c>
      <c r="G27" s="150" t="s">
        <v>235</v>
      </c>
      <c r="H27" s="150" t="s">
        <v>136</v>
      </c>
      <c r="I27" s="150" t="s">
        <v>239</v>
      </c>
      <c r="J27" s="150" t="s">
        <v>239</v>
      </c>
      <c r="K27" s="150" t="s">
        <v>240</v>
      </c>
      <c r="L27" s="150" t="s">
        <v>284</v>
      </c>
      <c r="M27" s="150">
        <v>0</v>
      </c>
      <c r="N27" s="150">
        <v>17.5</v>
      </c>
      <c r="O27" s="150">
        <v>0</v>
      </c>
      <c r="P27" s="150">
        <f>N27/10</f>
        <v>1.75</v>
      </c>
      <c r="Q27" s="163">
        <v>4.3871666666666664</v>
      </c>
      <c r="R27" s="163">
        <v>4.4412333333333338</v>
      </c>
      <c r="S27" s="163">
        <f>2.4495*0.204115091172712</f>
        <v>0.49997991582755807</v>
      </c>
      <c r="T27" s="163">
        <f>2.4495*0.251860393428141</f>
        <v>0.61693203370223137</v>
      </c>
      <c r="U27" s="150">
        <v>1.8660000000000001</v>
      </c>
      <c r="V27" s="150">
        <v>1.0960000000000001</v>
      </c>
      <c r="W27" s="150">
        <f>U27/10</f>
        <v>0.18660000000000002</v>
      </c>
      <c r="X27" s="150">
        <f t="shared" si="1"/>
        <v>0.1096</v>
      </c>
      <c r="Y27" s="164">
        <v>5030.869842666666</v>
      </c>
      <c r="Z27" s="164">
        <v>6152.8438160000005</v>
      </c>
      <c r="AA27" s="164">
        <f>2.4495*280.678185088394</f>
        <v>687.52121437402116</v>
      </c>
      <c r="AB27" s="164">
        <f>2.4495*185.067613692415</f>
        <v>453.32311973957053</v>
      </c>
      <c r="AC27" s="150" t="s">
        <v>132</v>
      </c>
      <c r="AD27" s="150" t="s">
        <v>132</v>
      </c>
      <c r="AE27" s="150" t="s">
        <v>132</v>
      </c>
      <c r="AF27" s="150" t="s">
        <v>132</v>
      </c>
      <c r="AG27" s="150">
        <v>28.6</v>
      </c>
      <c r="AH27" s="150">
        <v>50.2</v>
      </c>
      <c r="AI27" s="150">
        <v>7.38</v>
      </c>
      <c r="AJ27" s="150">
        <v>11</v>
      </c>
      <c r="AK27" s="150" t="s">
        <v>132</v>
      </c>
      <c r="AL27" s="150" t="s">
        <v>132</v>
      </c>
      <c r="AM27" s="150" t="s">
        <v>132</v>
      </c>
      <c r="AN27" s="150" t="s">
        <v>132</v>
      </c>
      <c r="AO27" s="179">
        <v>21464.784750000003</v>
      </c>
      <c r="AP27" s="179">
        <v>22332.437523333338</v>
      </c>
      <c r="AQ27" s="161">
        <f>AO27/10</f>
        <v>2146.4784750000003</v>
      </c>
      <c r="AR27" s="161">
        <f>AP27/10</f>
        <v>2233.2437523333338</v>
      </c>
      <c r="AS27" s="150" t="s">
        <v>132</v>
      </c>
      <c r="AT27" s="150" t="s">
        <v>132</v>
      </c>
      <c r="AU27" s="150" t="s">
        <v>132</v>
      </c>
      <c r="AV27" s="150" t="s">
        <v>132</v>
      </c>
      <c r="AW27" s="179">
        <v>16847.522309999997</v>
      </c>
      <c r="AX27" s="179">
        <v>14607.832156666665</v>
      </c>
      <c r="AY27" s="161">
        <f>AW27/10</f>
        <v>1684.7522309999997</v>
      </c>
      <c r="AZ27" s="161">
        <f>AX27/10</f>
        <v>1460.7832156666666</v>
      </c>
      <c r="BA27" s="150" t="s">
        <v>132</v>
      </c>
      <c r="BB27" s="150" t="s">
        <v>132</v>
      </c>
      <c r="BC27" s="150" t="s">
        <v>132</v>
      </c>
      <c r="BD27" s="150" t="s">
        <v>132</v>
      </c>
      <c r="BE27" s="150" t="s">
        <v>132</v>
      </c>
      <c r="BF27" s="150" t="s">
        <v>132</v>
      </c>
      <c r="BG27" s="150" t="s">
        <v>132</v>
      </c>
      <c r="BH27" s="150" t="s">
        <v>132</v>
      </c>
      <c r="BI27" s="150" t="s">
        <v>132</v>
      </c>
      <c r="BJ27" s="150" t="s">
        <v>132</v>
      </c>
      <c r="BK27" s="150" t="s">
        <v>132</v>
      </c>
      <c r="BL27" s="150" t="s">
        <v>132</v>
      </c>
      <c r="BM27" s="179">
        <v>40.095978405000004</v>
      </c>
      <c r="BN27" s="179">
        <v>36.200940821666663</v>
      </c>
      <c r="BO27" s="160">
        <f>BM27/10</f>
        <v>4.0095978405000006</v>
      </c>
      <c r="BP27" s="160">
        <f>BN27/10</f>
        <v>3.6200940821666663</v>
      </c>
      <c r="BQ27" s="150" t="s">
        <v>132</v>
      </c>
      <c r="BR27" s="150" t="s">
        <v>132</v>
      </c>
      <c r="BS27" s="150" t="s">
        <v>132</v>
      </c>
      <c r="BT27" s="150" t="s">
        <v>132</v>
      </c>
      <c r="BU27" s="179">
        <v>5727.0624791666669</v>
      </c>
      <c r="BV27" s="179">
        <v>5602.2916976666666</v>
      </c>
      <c r="BW27" s="161">
        <f>BU27/10</f>
        <v>572.70624791666671</v>
      </c>
      <c r="BX27" s="161">
        <f>BV27/10</f>
        <v>560.2291697666667</v>
      </c>
      <c r="BY27" s="150" t="s">
        <v>132</v>
      </c>
      <c r="BZ27" s="150" t="s">
        <v>132</v>
      </c>
      <c r="CA27" s="150" t="s">
        <v>132</v>
      </c>
      <c r="CB27" s="150" t="s">
        <v>132</v>
      </c>
      <c r="CC27" s="191">
        <v>282.20098446666663</v>
      </c>
      <c r="CD27" s="191">
        <v>243.35436726666669</v>
      </c>
      <c r="CE27" s="190">
        <v>28.220098446666661</v>
      </c>
      <c r="CF27" s="190">
        <v>24.335436726666668</v>
      </c>
      <c r="CG27" s="190" t="s">
        <v>132</v>
      </c>
      <c r="CH27" s="190" t="s">
        <v>132</v>
      </c>
      <c r="CI27" s="190" t="s">
        <v>132</v>
      </c>
      <c r="CJ27" s="190" t="s">
        <v>132</v>
      </c>
      <c r="CK27" s="191">
        <v>57.914539776666665</v>
      </c>
      <c r="CL27" s="191">
        <v>92.204841823333354</v>
      </c>
      <c r="CM27" s="190">
        <v>5.7914539776666665</v>
      </c>
      <c r="CN27" s="190">
        <v>9.220484182333335</v>
      </c>
      <c r="CO27" s="190" t="s">
        <v>132</v>
      </c>
      <c r="CP27" s="190" t="s">
        <v>132</v>
      </c>
      <c r="CQ27" s="190" t="s">
        <v>132</v>
      </c>
      <c r="CR27" s="190" t="s">
        <v>132</v>
      </c>
      <c r="CS27" s="191">
        <v>8457.9937708333327</v>
      </c>
      <c r="CT27" s="191">
        <v>8199.4222210000007</v>
      </c>
      <c r="CU27" s="190">
        <v>845.7993770833333</v>
      </c>
      <c r="CV27" s="190">
        <v>819.94222210000009</v>
      </c>
      <c r="CW27" s="190" t="s">
        <v>132</v>
      </c>
      <c r="CX27" s="190" t="s">
        <v>132</v>
      </c>
      <c r="CY27" s="190" t="s">
        <v>132</v>
      </c>
      <c r="CZ27" s="190" t="s">
        <v>132</v>
      </c>
      <c r="DA27" s="191">
        <v>37.576496655</v>
      </c>
      <c r="DB27" s="191">
        <v>34.686998733333333</v>
      </c>
      <c r="DC27" s="190">
        <v>3.7576496654999998</v>
      </c>
      <c r="DD27" s="190">
        <v>3.4686998733333332</v>
      </c>
      <c r="DE27" s="190" t="s">
        <v>132</v>
      </c>
      <c r="DF27" s="190" t="s">
        <v>132</v>
      </c>
      <c r="DG27" s="190" t="s">
        <v>132</v>
      </c>
      <c r="DH27" s="190" t="s">
        <v>132</v>
      </c>
    </row>
    <row r="28" spans="1:112">
      <c r="A28" s="150" t="s">
        <v>138</v>
      </c>
      <c r="B28" s="150">
        <v>4</v>
      </c>
      <c r="C28" s="150">
        <v>4</v>
      </c>
      <c r="D28" s="150" t="s">
        <v>231</v>
      </c>
      <c r="E28" s="150" t="s">
        <v>231</v>
      </c>
      <c r="F28" s="150">
        <v>63</v>
      </c>
      <c r="G28" s="150" t="s">
        <v>235</v>
      </c>
      <c r="H28" s="150" t="s">
        <v>137</v>
      </c>
      <c r="I28" s="150" t="s">
        <v>132</v>
      </c>
      <c r="J28" s="150" t="s">
        <v>132</v>
      </c>
      <c r="K28" s="150" t="s">
        <v>239</v>
      </c>
      <c r="L28" s="150" t="s">
        <v>285</v>
      </c>
      <c r="M28" s="150">
        <v>3.8</v>
      </c>
      <c r="N28" s="150">
        <v>22.2</v>
      </c>
      <c r="O28" s="152">
        <f>2*1</f>
        <v>2</v>
      </c>
      <c r="P28" s="152">
        <f>2*2.3</f>
        <v>4.5999999999999996</v>
      </c>
      <c r="Q28" s="166">
        <v>122</v>
      </c>
      <c r="R28" s="166">
        <v>176</v>
      </c>
      <c r="S28" s="158">
        <f>Q28/10</f>
        <v>12.2</v>
      </c>
      <c r="T28" s="158">
        <f>R28/10</f>
        <v>17.600000000000001</v>
      </c>
      <c r="U28" s="150" t="s">
        <v>132</v>
      </c>
      <c r="V28" s="150" t="s">
        <v>132</v>
      </c>
      <c r="W28" s="150" t="s">
        <v>132</v>
      </c>
      <c r="X28" s="150" t="s">
        <v>132</v>
      </c>
      <c r="Y28" s="167">
        <v>2421.5549881878187</v>
      </c>
      <c r="Z28" s="167">
        <v>3769.7265927994858</v>
      </c>
      <c r="AA28" s="158">
        <f>Y28/10</f>
        <v>242.15549881878187</v>
      </c>
      <c r="AB28" s="158">
        <f>Z28/10</f>
        <v>376.97265927994857</v>
      </c>
      <c r="AC28" s="150" t="s">
        <v>132</v>
      </c>
      <c r="AD28" s="150" t="s">
        <v>132</v>
      </c>
      <c r="AE28" s="150" t="s">
        <v>132</v>
      </c>
      <c r="AF28" s="150" t="s">
        <v>132</v>
      </c>
      <c r="AG28" s="165">
        <v>62</v>
      </c>
      <c r="AH28" s="165">
        <v>65</v>
      </c>
      <c r="AI28" s="150">
        <f>AG28/10</f>
        <v>6.2</v>
      </c>
      <c r="AJ28" s="150">
        <f>AH28/10</f>
        <v>6.5</v>
      </c>
      <c r="AK28" s="150" t="s">
        <v>132</v>
      </c>
      <c r="AL28" s="150" t="s">
        <v>132</v>
      </c>
      <c r="AM28" s="150" t="s">
        <v>132</v>
      </c>
      <c r="AN28" s="150" t="s">
        <v>132</v>
      </c>
      <c r="AO28" s="176">
        <v>29561.28520620969</v>
      </c>
      <c r="AP28" s="176">
        <v>27100.597348528565</v>
      </c>
      <c r="AQ28" s="176">
        <v>2264.2015264366587</v>
      </c>
      <c r="AR28" s="176">
        <v>252.37131781408721</v>
      </c>
      <c r="AS28" s="150" t="s">
        <v>132</v>
      </c>
      <c r="AT28" s="150" t="s">
        <v>132</v>
      </c>
      <c r="AU28" s="150" t="s">
        <v>132</v>
      </c>
      <c r="AV28" s="150" t="s">
        <v>132</v>
      </c>
      <c r="AW28" s="176">
        <v>29336.903986906065</v>
      </c>
      <c r="AX28" s="176">
        <v>30589.267439056275</v>
      </c>
      <c r="AY28" s="176">
        <v>2010.5698846269543</v>
      </c>
      <c r="AZ28" s="176">
        <v>3681.4958413379632</v>
      </c>
      <c r="BA28" s="150" t="s">
        <v>132</v>
      </c>
      <c r="BB28" s="150" t="s">
        <v>132</v>
      </c>
      <c r="BC28" s="150" t="s">
        <v>132</v>
      </c>
      <c r="BD28" s="150" t="s">
        <v>132</v>
      </c>
      <c r="BE28" s="183">
        <v>7.1953508237588952</v>
      </c>
      <c r="BF28" s="183">
        <v>20.227669268842558</v>
      </c>
      <c r="BG28" s="183">
        <v>2.0649342424567911</v>
      </c>
      <c r="BH28" s="183">
        <v>2.7628754917310285</v>
      </c>
      <c r="BI28" s="150" t="s">
        <v>132</v>
      </c>
      <c r="BJ28" s="150" t="s">
        <v>132</v>
      </c>
      <c r="BK28" s="150" t="s">
        <v>132</v>
      </c>
      <c r="BL28" s="150" t="s">
        <v>132</v>
      </c>
      <c r="BM28" s="176">
        <v>187.87419720981339</v>
      </c>
      <c r="BN28" s="176">
        <v>87.717640005948056</v>
      </c>
      <c r="BO28" s="176">
        <v>23.828235664776361</v>
      </c>
      <c r="BP28" s="176">
        <v>4.9430108870937257</v>
      </c>
      <c r="BQ28" s="150" t="s">
        <v>132</v>
      </c>
      <c r="BR28" s="150" t="s">
        <v>132</v>
      </c>
      <c r="BS28" s="150" t="s">
        <v>132</v>
      </c>
      <c r="BT28" s="150" t="s">
        <v>132</v>
      </c>
      <c r="BU28" s="176">
        <v>12389.456827610993</v>
      </c>
      <c r="BV28" s="176">
        <v>11192.05152390884</v>
      </c>
      <c r="BW28" s="176">
        <v>612.56538841714234</v>
      </c>
      <c r="BX28" s="176">
        <v>803.09799967849119</v>
      </c>
      <c r="BY28" s="150" t="s">
        <v>132</v>
      </c>
      <c r="BZ28" s="150" t="s">
        <v>132</v>
      </c>
      <c r="CA28" s="150" t="s">
        <v>132</v>
      </c>
      <c r="CB28" s="150" t="s">
        <v>132</v>
      </c>
      <c r="CC28" s="189">
        <v>597.16844521857206</v>
      </c>
      <c r="CD28" s="189">
        <v>990.33128149489357</v>
      </c>
      <c r="CE28" s="189">
        <v>80.917965260250355</v>
      </c>
      <c r="CF28" s="189">
        <v>211.36742752115381</v>
      </c>
      <c r="CG28" s="190" t="s">
        <v>132</v>
      </c>
      <c r="CH28" s="190" t="s">
        <v>132</v>
      </c>
      <c r="CI28" s="190" t="s">
        <v>132</v>
      </c>
      <c r="CJ28" s="190" t="s">
        <v>132</v>
      </c>
      <c r="CK28" s="189">
        <v>549.83607256165101</v>
      </c>
      <c r="CL28" s="189">
        <v>920.72478737045867</v>
      </c>
      <c r="CM28" s="189">
        <v>94.971317024324946</v>
      </c>
      <c r="CN28" s="189">
        <v>561.49032933446915</v>
      </c>
      <c r="CO28" s="190" t="s">
        <v>132</v>
      </c>
      <c r="CP28" s="190" t="s">
        <v>132</v>
      </c>
      <c r="CQ28" s="190" t="s">
        <v>132</v>
      </c>
      <c r="CR28" s="190" t="s">
        <v>132</v>
      </c>
      <c r="CS28" s="189">
        <v>5214.0642877180962</v>
      </c>
      <c r="CT28" s="189">
        <v>6710.287030555337</v>
      </c>
      <c r="CU28" s="189">
        <v>776.59048460137353</v>
      </c>
      <c r="CV28" s="189">
        <v>519.4046596512851</v>
      </c>
      <c r="CW28" s="190" t="s">
        <v>132</v>
      </c>
      <c r="CX28" s="190" t="s">
        <v>132</v>
      </c>
      <c r="CY28" s="190" t="s">
        <v>132</v>
      </c>
      <c r="CZ28" s="190" t="s">
        <v>132</v>
      </c>
      <c r="DA28" s="189">
        <v>78.977659390043613</v>
      </c>
      <c r="DB28" s="189">
        <v>104.50599191105013</v>
      </c>
      <c r="DC28" s="189">
        <v>7.8834291102069249</v>
      </c>
      <c r="DD28" s="189">
        <v>26.850360038226828</v>
      </c>
      <c r="DE28" s="190" t="s">
        <v>132</v>
      </c>
      <c r="DF28" s="190" t="s">
        <v>132</v>
      </c>
      <c r="DG28" s="190" t="s">
        <v>132</v>
      </c>
      <c r="DH28" s="190" t="s">
        <v>132</v>
      </c>
    </row>
    <row r="29" spans="1:112">
      <c r="A29" s="150" t="s">
        <v>138</v>
      </c>
      <c r="B29" s="150">
        <v>4</v>
      </c>
      <c r="C29" s="150">
        <v>4</v>
      </c>
      <c r="D29" s="150" t="s">
        <v>231</v>
      </c>
      <c r="E29" s="150" t="s">
        <v>231</v>
      </c>
      <c r="F29" s="150">
        <v>63</v>
      </c>
      <c r="G29" s="150" t="s">
        <v>235</v>
      </c>
      <c r="H29" s="150" t="s">
        <v>137</v>
      </c>
      <c r="I29" s="150" t="s">
        <v>132</v>
      </c>
      <c r="J29" s="150" t="s">
        <v>132</v>
      </c>
      <c r="K29" s="150" t="s">
        <v>239</v>
      </c>
      <c r="L29" s="150" t="s">
        <v>285</v>
      </c>
      <c r="M29" s="150">
        <v>2</v>
      </c>
      <c r="N29" s="150">
        <v>18.899999999999999</v>
      </c>
      <c r="O29" s="152">
        <f>2*1.1</f>
        <v>2.2000000000000002</v>
      </c>
      <c r="P29" s="152">
        <f>2*3.1</f>
        <v>6.2</v>
      </c>
      <c r="Q29" s="166">
        <v>111</v>
      </c>
      <c r="R29" s="166">
        <v>171</v>
      </c>
      <c r="S29" s="158">
        <f>Q29/10</f>
        <v>11.1</v>
      </c>
      <c r="T29" s="158">
        <f>R29/10</f>
        <v>17.100000000000001</v>
      </c>
      <c r="U29" s="150" t="s">
        <v>132</v>
      </c>
      <c r="V29" s="150" t="s">
        <v>132</v>
      </c>
      <c r="W29" s="150" t="s">
        <v>132</v>
      </c>
      <c r="X29" s="150" t="s">
        <v>132</v>
      </c>
      <c r="Y29" s="167">
        <v>2379.4107465110674</v>
      </c>
      <c r="Z29" s="167">
        <v>3626.7815750999571</v>
      </c>
      <c r="AA29" s="158">
        <f>Y29/10</f>
        <v>237.94107465110673</v>
      </c>
      <c r="AB29" s="158">
        <f>Z29/10</f>
        <v>362.67815750999569</v>
      </c>
      <c r="AC29" s="150" t="s">
        <v>132</v>
      </c>
      <c r="AD29" s="150" t="s">
        <v>132</v>
      </c>
      <c r="AE29" s="150" t="s">
        <v>132</v>
      </c>
      <c r="AF29" s="150" t="s">
        <v>132</v>
      </c>
      <c r="AG29" s="165">
        <v>60</v>
      </c>
      <c r="AH29" s="165">
        <v>57</v>
      </c>
      <c r="AI29" s="150">
        <f>AG29/10</f>
        <v>6</v>
      </c>
      <c r="AJ29" s="150">
        <f>AH29/10</f>
        <v>5.7</v>
      </c>
      <c r="AK29" s="150" t="s">
        <v>132</v>
      </c>
      <c r="AL29" s="150" t="s">
        <v>132</v>
      </c>
      <c r="AM29" s="150" t="s">
        <v>132</v>
      </c>
      <c r="AN29" s="150" t="s">
        <v>132</v>
      </c>
      <c r="AO29" s="176">
        <v>27675.968204841211</v>
      </c>
      <c r="AP29" s="176">
        <v>25613.273819957503</v>
      </c>
      <c r="AQ29" s="176">
        <v>2801.7560484407231</v>
      </c>
      <c r="AR29" s="176">
        <v>2308.2132951480658</v>
      </c>
      <c r="AS29" s="150" t="s">
        <v>132</v>
      </c>
      <c r="AT29" s="150" t="s">
        <v>132</v>
      </c>
      <c r="AU29" s="150" t="s">
        <v>132</v>
      </c>
      <c r="AV29" s="150" t="s">
        <v>132</v>
      </c>
      <c r="AW29" s="176">
        <v>30615.518486723238</v>
      </c>
      <c r="AX29" s="176">
        <v>30495.161009484757</v>
      </c>
      <c r="AY29" s="176">
        <v>969.56673176889342</v>
      </c>
      <c r="AZ29" s="176">
        <v>407.05824387770298</v>
      </c>
      <c r="BA29" s="150" t="s">
        <v>132</v>
      </c>
      <c r="BB29" s="150" t="s">
        <v>132</v>
      </c>
      <c r="BC29" s="150" t="s">
        <v>132</v>
      </c>
      <c r="BD29" s="150" t="s">
        <v>132</v>
      </c>
      <c r="BE29" s="183">
        <v>7.3324883012109332</v>
      </c>
      <c r="BF29" s="183">
        <v>21.766359562465318</v>
      </c>
      <c r="BG29" s="183">
        <v>2.9658544364200279</v>
      </c>
      <c r="BH29" s="183">
        <v>2.8260779340675688</v>
      </c>
      <c r="BI29" s="150" t="s">
        <v>132</v>
      </c>
      <c r="BJ29" s="150" t="s">
        <v>132</v>
      </c>
      <c r="BK29" s="150" t="s">
        <v>132</v>
      </c>
      <c r="BL29" s="150" t="s">
        <v>132</v>
      </c>
      <c r="BM29" s="176">
        <v>195.14157997620748</v>
      </c>
      <c r="BN29" s="176">
        <v>76.559157861698523</v>
      </c>
      <c r="BO29" s="176">
        <v>24.391450702268877</v>
      </c>
      <c r="BP29" s="176">
        <v>1.102407726265749</v>
      </c>
      <c r="BQ29" s="150" t="s">
        <v>132</v>
      </c>
      <c r="BR29" s="150" t="s">
        <v>132</v>
      </c>
      <c r="BS29" s="150" t="s">
        <v>132</v>
      </c>
      <c r="BT29" s="150" t="s">
        <v>132</v>
      </c>
      <c r="BU29" s="176">
        <v>12325.556360156752</v>
      </c>
      <c r="BV29" s="176">
        <v>11306.883668883323</v>
      </c>
      <c r="BW29" s="176">
        <v>55.347348397591219</v>
      </c>
      <c r="BX29" s="176">
        <v>365.90487347755317</v>
      </c>
      <c r="BY29" s="150" t="s">
        <v>132</v>
      </c>
      <c r="BZ29" s="150" t="s">
        <v>132</v>
      </c>
      <c r="CA29" s="150" t="s">
        <v>132</v>
      </c>
      <c r="CB29" s="150" t="s">
        <v>132</v>
      </c>
      <c r="CC29" s="189">
        <v>511.86131202995102</v>
      </c>
      <c r="CD29" s="189">
        <v>924.22729987436605</v>
      </c>
      <c r="CE29" s="189">
        <v>85.977417908962451</v>
      </c>
      <c r="CF29" s="189">
        <v>97.095843653645332</v>
      </c>
      <c r="CG29" s="190" t="s">
        <v>132</v>
      </c>
      <c r="CH29" s="190" t="s">
        <v>132</v>
      </c>
      <c r="CI29" s="190" t="s">
        <v>132</v>
      </c>
      <c r="CJ29" s="190" t="s">
        <v>132</v>
      </c>
      <c r="CK29" s="189">
        <v>456.76303451533988</v>
      </c>
      <c r="CL29" s="189">
        <v>594.2100850939039</v>
      </c>
      <c r="CM29" s="189">
        <v>131.84960552923405</v>
      </c>
      <c r="CN29" s="189">
        <v>127.63549945858277</v>
      </c>
      <c r="CO29" s="190" t="s">
        <v>132</v>
      </c>
      <c r="CP29" s="190" t="s">
        <v>132</v>
      </c>
      <c r="CQ29" s="190" t="s">
        <v>132</v>
      </c>
      <c r="CR29" s="190" t="s">
        <v>132</v>
      </c>
      <c r="CS29" s="189">
        <v>4907.4372823454632</v>
      </c>
      <c r="CT29" s="189">
        <v>6692.6374172980577</v>
      </c>
      <c r="CU29" s="189">
        <v>923.68279566004753</v>
      </c>
      <c r="CV29" s="189">
        <v>317.70851821598029</v>
      </c>
      <c r="CW29" s="190" t="s">
        <v>132</v>
      </c>
      <c r="CX29" s="190" t="s">
        <v>132</v>
      </c>
      <c r="CY29" s="190" t="s">
        <v>132</v>
      </c>
      <c r="CZ29" s="190" t="s">
        <v>132</v>
      </c>
      <c r="DA29" s="189">
        <v>83.381321980431736</v>
      </c>
      <c r="DB29" s="189">
        <v>99.13830079380736</v>
      </c>
      <c r="DC29" s="189">
        <v>9.9866008127432195</v>
      </c>
      <c r="DD29" s="189">
        <v>9.273747029310293</v>
      </c>
      <c r="DE29" s="190" t="s">
        <v>132</v>
      </c>
      <c r="DF29" s="190" t="s">
        <v>132</v>
      </c>
      <c r="DG29" s="190" t="s">
        <v>132</v>
      </c>
      <c r="DH29" s="190" t="s">
        <v>132</v>
      </c>
    </row>
    <row r="30" spans="1:112">
      <c r="A30" s="150" t="s">
        <v>139</v>
      </c>
      <c r="B30" s="150">
        <v>3</v>
      </c>
      <c r="C30" s="150">
        <v>3</v>
      </c>
      <c r="D30" s="150" t="s">
        <v>233</v>
      </c>
      <c r="E30" s="150" t="s">
        <v>228</v>
      </c>
      <c r="F30" s="150">
        <v>42</v>
      </c>
      <c r="G30" s="150" t="s">
        <v>234</v>
      </c>
      <c r="H30" s="150" t="s">
        <v>136</v>
      </c>
      <c r="I30" s="150" t="s">
        <v>132</v>
      </c>
      <c r="J30" s="150" t="s">
        <v>132</v>
      </c>
      <c r="K30" s="150" t="s">
        <v>132</v>
      </c>
      <c r="L30" s="150" t="s">
        <v>283</v>
      </c>
      <c r="M30" s="150" t="s">
        <v>132</v>
      </c>
      <c r="N30" s="150">
        <v>15</v>
      </c>
      <c r="O30" s="150" t="s">
        <v>132</v>
      </c>
      <c r="P30" s="150">
        <f>1.73*2</f>
        <v>3.46</v>
      </c>
      <c r="Q30" s="158">
        <v>1.8956</v>
      </c>
      <c r="R30" s="158">
        <v>1.8786</v>
      </c>
      <c r="S30" s="158">
        <f>1.7321*(1.9668-Q30)</f>
        <v>0.12332552000000026</v>
      </c>
      <c r="T30" s="158">
        <f>1.7321*(2.0035-R30)</f>
        <v>0.21633928999999963</v>
      </c>
      <c r="U30" s="150" t="s">
        <v>132</v>
      </c>
      <c r="V30" s="150" t="s">
        <v>132</v>
      </c>
      <c r="W30" s="150" t="s">
        <v>132</v>
      </c>
      <c r="X30" s="150" t="s">
        <v>132</v>
      </c>
      <c r="Y30" s="160">
        <v>1400</v>
      </c>
      <c r="Z30" s="160">
        <v>1400</v>
      </c>
      <c r="AA30" s="160">
        <f>2.2361*200</f>
        <v>447.21999999999997</v>
      </c>
      <c r="AB30" s="160">
        <f>2.2361*100</f>
        <v>223.60999999999999</v>
      </c>
      <c r="AC30" s="150" t="s">
        <v>132</v>
      </c>
      <c r="AD30" s="150" t="s">
        <v>132</v>
      </c>
      <c r="AE30" s="150" t="s">
        <v>132</v>
      </c>
      <c r="AF30" s="150" t="s">
        <v>132</v>
      </c>
      <c r="AG30" s="150" t="s">
        <v>132</v>
      </c>
      <c r="AH30" s="150" t="s">
        <v>132</v>
      </c>
      <c r="AI30" s="150" t="s">
        <v>132</v>
      </c>
      <c r="AJ30" s="150" t="s">
        <v>132</v>
      </c>
      <c r="AK30" s="150" t="s">
        <v>132</v>
      </c>
      <c r="AL30" s="150" t="s">
        <v>132</v>
      </c>
      <c r="AM30" s="150" t="s">
        <v>132</v>
      </c>
      <c r="AN30" s="150" t="s">
        <v>132</v>
      </c>
      <c r="AO30" s="150" t="s">
        <v>132</v>
      </c>
      <c r="AP30" s="150" t="s">
        <v>132</v>
      </c>
      <c r="AQ30" s="150" t="s">
        <v>132</v>
      </c>
      <c r="AR30" s="150" t="s">
        <v>132</v>
      </c>
      <c r="AS30" s="150" t="s">
        <v>132</v>
      </c>
      <c r="AT30" s="150" t="s">
        <v>132</v>
      </c>
      <c r="AU30" s="150" t="s">
        <v>132</v>
      </c>
      <c r="AV30" s="150" t="s">
        <v>132</v>
      </c>
      <c r="AW30" s="150" t="s">
        <v>132</v>
      </c>
      <c r="AX30" s="150" t="s">
        <v>132</v>
      </c>
      <c r="AY30" s="150" t="s">
        <v>132</v>
      </c>
      <c r="AZ30" s="150" t="s">
        <v>132</v>
      </c>
      <c r="BA30" s="150" t="s">
        <v>132</v>
      </c>
      <c r="BB30" s="150" t="s">
        <v>132</v>
      </c>
      <c r="BC30" s="150" t="s">
        <v>132</v>
      </c>
      <c r="BD30" s="150" t="s">
        <v>132</v>
      </c>
      <c r="BE30" s="150" t="s">
        <v>132</v>
      </c>
      <c r="BF30" s="150" t="s">
        <v>132</v>
      </c>
      <c r="BG30" s="150" t="s">
        <v>132</v>
      </c>
      <c r="BH30" s="150" t="s">
        <v>132</v>
      </c>
      <c r="BI30" s="150" t="s">
        <v>132</v>
      </c>
      <c r="BJ30" s="150" t="s">
        <v>132</v>
      </c>
      <c r="BK30" s="150" t="s">
        <v>132</v>
      </c>
      <c r="BL30" s="150" t="s">
        <v>132</v>
      </c>
      <c r="BM30" s="150" t="s">
        <v>132</v>
      </c>
      <c r="BN30" s="150" t="s">
        <v>132</v>
      </c>
      <c r="BO30" s="150" t="s">
        <v>132</v>
      </c>
      <c r="BP30" s="150" t="s">
        <v>132</v>
      </c>
      <c r="BQ30" s="150" t="s">
        <v>132</v>
      </c>
      <c r="BR30" s="150" t="s">
        <v>132</v>
      </c>
      <c r="BS30" s="150" t="s">
        <v>132</v>
      </c>
      <c r="BT30" s="150" t="s">
        <v>132</v>
      </c>
      <c r="BU30" s="150" t="s">
        <v>132</v>
      </c>
      <c r="BV30" s="150" t="s">
        <v>132</v>
      </c>
      <c r="BW30" s="150" t="s">
        <v>132</v>
      </c>
      <c r="BX30" s="150" t="s">
        <v>132</v>
      </c>
      <c r="BY30" s="150" t="s">
        <v>132</v>
      </c>
      <c r="BZ30" s="150" t="s">
        <v>132</v>
      </c>
      <c r="CA30" s="150" t="s">
        <v>132</v>
      </c>
      <c r="CB30" s="150" t="s">
        <v>132</v>
      </c>
      <c r="CC30" s="190" t="s">
        <v>132</v>
      </c>
      <c r="CD30" s="190" t="s">
        <v>132</v>
      </c>
      <c r="CE30" s="190" t="s">
        <v>132</v>
      </c>
      <c r="CF30" s="190" t="s">
        <v>132</v>
      </c>
      <c r="CG30" s="190" t="s">
        <v>132</v>
      </c>
      <c r="CH30" s="190" t="s">
        <v>132</v>
      </c>
      <c r="CI30" s="190" t="s">
        <v>132</v>
      </c>
      <c r="CJ30" s="190" t="s">
        <v>132</v>
      </c>
      <c r="CK30" s="190" t="s">
        <v>132</v>
      </c>
      <c r="CL30" s="190" t="s">
        <v>132</v>
      </c>
      <c r="CM30" s="190" t="s">
        <v>132</v>
      </c>
      <c r="CN30" s="190" t="s">
        <v>132</v>
      </c>
      <c r="CO30" s="190" t="s">
        <v>132</v>
      </c>
      <c r="CP30" s="190" t="s">
        <v>132</v>
      </c>
      <c r="CQ30" s="190" t="s">
        <v>132</v>
      </c>
      <c r="CR30" s="190" t="s">
        <v>132</v>
      </c>
      <c r="CS30" s="190" t="s">
        <v>132</v>
      </c>
      <c r="CT30" s="190" t="s">
        <v>132</v>
      </c>
      <c r="CU30" s="190" t="s">
        <v>132</v>
      </c>
      <c r="CV30" s="190" t="s">
        <v>132</v>
      </c>
      <c r="CW30" s="190" t="s">
        <v>132</v>
      </c>
      <c r="CX30" s="190" t="s">
        <v>132</v>
      </c>
      <c r="CY30" s="190" t="s">
        <v>132</v>
      </c>
      <c r="CZ30" s="190" t="s">
        <v>132</v>
      </c>
      <c r="DA30" s="190" t="s">
        <v>132</v>
      </c>
      <c r="DB30" s="190" t="s">
        <v>132</v>
      </c>
      <c r="DC30" s="190" t="s">
        <v>132</v>
      </c>
      <c r="DD30" s="190" t="s">
        <v>132</v>
      </c>
      <c r="DE30" s="190" t="s">
        <v>132</v>
      </c>
      <c r="DF30" s="190" t="s">
        <v>132</v>
      </c>
      <c r="DG30" s="190" t="s">
        <v>132</v>
      </c>
      <c r="DH30" s="190" t="s">
        <v>132</v>
      </c>
    </row>
    <row r="31" spans="1:112">
      <c r="A31" s="150" t="s">
        <v>139</v>
      </c>
      <c r="B31" s="150">
        <v>3</v>
      </c>
      <c r="C31" s="150">
        <v>3</v>
      </c>
      <c r="D31" s="150" t="s">
        <v>233</v>
      </c>
      <c r="E31" s="150" t="s">
        <v>229</v>
      </c>
      <c r="F31" s="150">
        <v>42</v>
      </c>
      <c r="G31" s="150" t="s">
        <v>234</v>
      </c>
      <c r="H31" s="150" t="s">
        <v>136</v>
      </c>
      <c r="I31" s="150" t="s">
        <v>132</v>
      </c>
      <c r="J31" s="150" t="s">
        <v>132</v>
      </c>
      <c r="K31" s="150" t="s">
        <v>132</v>
      </c>
      <c r="L31" s="150" t="s">
        <v>283</v>
      </c>
      <c r="M31" s="150" t="s">
        <v>132</v>
      </c>
      <c r="N31" s="150">
        <v>31.4</v>
      </c>
      <c r="O31" s="150" t="s">
        <v>132</v>
      </c>
      <c r="P31" s="150">
        <v>1.73</v>
      </c>
      <c r="Q31" s="158">
        <v>2.7012999999999998</v>
      </c>
      <c r="R31" s="158">
        <v>2.8090999999999999</v>
      </c>
      <c r="S31" s="158">
        <f>1.7321*(2.8082-Q31)</f>
        <v>0.18516148999999998</v>
      </c>
      <c r="T31" s="158">
        <f>1.7321*(2.9342-R31)</f>
        <v>0.21668571000000036</v>
      </c>
      <c r="U31" s="150" t="s">
        <v>132</v>
      </c>
      <c r="V31" s="150" t="s">
        <v>132</v>
      </c>
      <c r="W31" s="150" t="s">
        <v>132</v>
      </c>
      <c r="X31" s="150" t="s">
        <v>132</v>
      </c>
      <c r="Y31" s="150" t="s">
        <v>132</v>
      </c>
      <c r="Z31" s="150" t="s">
        <v>132</v>
      </c>
      <c r="AA31" s="150" t="s">
        <v>132</v>
      </c>
      <c r="AB31" s="150" t="s">
        <v>132</v>
      </c>
      <c r="AC31" s="150" t="s">
        <v>132</v>
      </c>
      <c r="AD31" s="150" t="s">
        <v>132</v>
      </c>
      <c r="AE31" s="150" t="s">
        <v>132</v>
      </c>
      <c r="AF31" s="150" t="s">
        <v>132</v>
      </c>
      <c r="AG31" s="150" t="s">
        <v>132</v>
      </c>
      <c r="AH31" s="150" t="s">
        <v>132</v>
      </c>
      <c r="AI31" s="150" t="s">
        <v>132</v>
      </c>
      <c r="AJ31" s="150" t="s">
        <v>132</v>
      </c>
      <c r="AK31" s="150" t="s">
        <v>132</v>
      </c>
      <c r="AL31" s="150" t="s">
        <v>132</v>
      </c>
      <c r="AM31" s="150" t="s">
        <v>132</v>
      </c>
      <c r="AN31" s="150" t="s">
        <v>132</v>
      </c>
      <c r="AO31" s="150" t="s">
        <v>132</v>
      </c>
      <c r="AP31" s="150" t="s">
        <v>132</v>
      </c>
      <c r="AQ31" s="150" t="s">
        <v>132</v>
      </c>
      <c r="AR31" s="150" t="s">
        <v>132</v>
      </c>
      <c r="AS31" s="150" t="s">
        <v>132</v>
      </c>
      <c r="AT31" s="150" t="s">
        <v>132</v>
      </c>
      <c r="AU31" s="150" t="s">
        <v>132</v>
      </c>
      <c r="AV31" s="150" t="s">
        <v>132</v>
      </c>
      <c r="AW31" s="150" t="s">
        <v>132</v>
      </c>
      <c r="AX31" s="150" t="s">
        <v>132</v>
      </c>
      <c r="AY31" s="150" t="s">
        <v>132</v>
      </c>
      <c r="AZ31" s="150" t="s">
        <v>132</v>
      </c>
      <c r="BA31" s="150" t="s">
        <v>132</v>
      </c>
      <c r="BB31" s="150" t="s">
        <v>132</v>
      </c>
      <c r="BC31" s="150" t="s">
        <v>132</v>
      </c>
      <c r="BD31" s="150" t="s">
        <v>132</v>
      </c>
      <c r="BE31" s="150" t="s">
        <v>132</v>
      </c>
      <c r="BF31" s="150" t="s">
        <v>132</v>
      </c>
      <c r="BG31" s="150" t="s">
        <v>132</v>
      </c>
      <c r="BH31" s="150" t="s">
        <v>132</v>
      </c>
      <c r="BI31" s="150" t="s">
        <v>132</v>
      </c>
      <c r="BJ31" s="150" t="s">
        <v>132</v>
      </c>
      <c r="BK31" s="150" t="s">
        <v>132</v>
      </c>
      <c r="BL31" s="150" t="s">
        <v>132</v>
      </c>
      <c r="BM31" s="150" t="s">
        <v>132</v>
      </c>
      <c r="BN31" s="150" t="s">
        <v>132</v>
      </c>
      <c r="BO31" s="150" t="s">
        <v>132</v>
      </c>
      <c r="BP31" s="150" t="s">
        <v>132</v>
      </c>
      <c r="BQ31" s="150" t="s">
        <v>132</v>
      </c>
      <c r="BR31" s="150" t="s">
        <v>132</v>
      </c>
      <c r="BS31" s="150" t="s">
        <v>132</v>
      </c>
      <c r="BT31" s="150" t="s">
        <v>132</v>
      </c>
      <c r="BU31" s="150" t="s">
        <v>132</v>
      </c>
      <c r="BV31" s="150" t="s">
        <v>132</v>
      </c>
      <c r="BW31" s="150" t="s">
        <v>132</v>
      </c>
      <c r="BX31" s="150" t="s">
        <v>132</v>
      </c>
      <c r="BY31" s="150" t="s">
        <v>132</v>
      </c>
      <c r="BZ31" s="150" t="s">
        <v>132</v>
      </c>
      <c r="CA31" s="150" t="s">
        <v>132</v>
      </c>
      <c r="CB31" s="150" t="s">
        <v>132</v>
      </c>
      <c r="CC31" s="190" t="s">
        <v>132</v>
      </c>
      <c r="CD31" s="190" t="s">
        <v>132</v>
      </c>
      <c r="CE31" s="190" t="s">
        <v>132</v>
      </c>
      <c r="CF31" s="190" t="s">
        <v>132</v>
      </c>
      <c r="CG31" s="190" t="s">
        <v>132</v>
      </c>
      <c r="CH31" s="190" t="s">
        <v>132</v>
      </c>
      <c r="CI31" s="190" t="s">
        <v>132</v>
      </c>
      <c r="CJ31" s="190" t="s">
        <v>132</v>
      </c>
      <c r="CK31" s="190" t="s">
        <v>132</v>
      </c>
      <c r="CL31" s="190" t="s">
        <v>132</v>
      </c>
      <c r="CM31" s="190" t="s">
        <v>132</v>
      </c>
      <c r="CN31" s="190" t="s">
        <v>132</v>
      </c>
      <c r="CO31" s="190" t="s">
        <v>132</v>
      </c>
      <c r="CP31" s="190" t="s">
        <v>132</v>
      </c>
      <c r="CQ31" s="190" t="s">
        <v>132</v>
      </c>
      <c r="CR31" s="190" t="s">
        <v>132</v>
      </c>
      <c r="CS31" s="190" t="s">
        <v>132</v>
      </c>
      <c r="CT31" s="190" t="s">
        <v>132</v>
      </c>
      <c r="CU31" s="190" t="s">
        <v>132</v>
      </c>
      <c r="CV31" s="190" t="s">
        <v>132</v>
      </c>
      <c r="CW31" s="190" t="s">
        <v>132</v>
      </c>
      <c r="CX31" s="190" t="s">
        <v>132</v>
      </c>
      <c r="CY31" s="190" t="s">
        <v>132</v>
      </c>
      <c r="CZ31" s="190" t="s">
        <v>132</v>
      </c>
      <c r="DA31" s="190" t="s">
        <v>132</v>
      </c>
      <c r="DB31" s="190" t="s">
        <v>132</v>
      </c>
      <c r="DC31" s="190" t="s">
        <v>132</v>
      </c>
      <c r="DD31" s="190" t="s">
        <v>132</v>
      </c>
      <c r="DE31" s="190" t="s">
        <v>132</v>
      </c>
      <c r="DF31" s="190" t="s">
        <v>132</v>
      </c>
      <c r="DG31" s="190" t="s">
        <v>132</v>
      </c>
      <c r="DH31" s="190" t="s">
        <v>132</v>
      </c>
    </row>
    <row r="32" spans="1:112">
      <c r="A32" s="150" t="s">
        <v>139</v>
      </c>
      <c r="B32" s="150">
        <v>3</v>
      </c>
      <c r="C32" s="150">
        <v>3</v>
      </c>
      <c r="D32" s="150" t="s">
        <v>233</v>
      </c>
      <c r="E32" s="150" t="s">
        <v>229</v>
      </c>
      <c r="F32" s="150">
        <v>42</v>
      </c>
      <c r="G32" s="150" t="s">
        <v>234</v>
      </c>
      <c r="H32" s="150" t="s">
        <v>136</v>
      </c>
      <c r="I32" s="150" t="s">
        <v>132</v>
      </c>
      <c r="J32" s="150" t="s">
        <v>132</v>
      </c>
      <c r="K32" s="150" t="s">
        <v>132</v>
      </c>
      <c r="L32" s="150" t="s">
        <v>283</v>
      </c>
      <c r="M32" s="150" t="s">
        <v>132</v>
      </c>
      <c r="N32" s="150">
        <v>24.4</v>
      </c>
      <c r="O32" s="150" t="s">
        <v>132</v>
      </c>
      <c r="P32" s="150">
        <v>1.73</v>
      </c>
      <c r="Q32" s="158">
        <v>2.5181</v>
      </c>
      <c r="R32" s="158">
        <v>2.5013000000000001</v>
      </c>
      <c r="S32" s="158">
        <f>1.7321*(2.6255-Q32)</f>
        <v>0.18602754000000027</v>
      </c>
      <c r="T32" s="158">
        <f>1.7321*(2.6082-R32)</f>
        <v>0.18516148999999998</v>
      </c>
      <c r="U32" s="150" t="s">
        <v>132</v>
      </c>
      <c r="V32" s="150" t="s">
        <v>132</v>
      </c>
      <c r="W32" s="150" t="s">
        <v>132</v>
      </c>
      <c r="X32" s="150" t="s">
        <v>132</v>
      </c>
      <c r="Y32" s="150" t="s">
        <v>132</v>
      </c>
      <c r="Z32" s="150" t="s">
        <v>132</v>
      </c>
      <c r="AA32" s="150" t="s">
        <v>132</v>
      </c>
      <c r="AB32" s="150" t="s">
        <v>132</v>
      </c>
      <c r="AC32" s="150" t="s">
        <v>132</v>
      </c>
      <c r="AD32" s="150" t="s">
        <v>132</v>
      </c>
      <c r="AE32" s="150" t="s">
        <v>132</v>
      </c>
      <c r="AF32" s="150" t="s">
        <v>132</v>
      </c>
      <c r="AG32" s="150" t="s">
        <v>132</v>
      </c>
      <c r="AH32" s="150" t="s">
        <v>132</v>
      </c>
      <c r="AI32" s="150" t="s">
        <v>132</v>
      </c>
      <c r="AJ32" s="150" t="s">
        <v>132</v>
      </c>
      <c r="AK32" s="150" t="s">
        <v>132</v>
      </c>
      <c r="AL32" s="150" t="s">
        <v>132</v>
      </c>
      <c r="AM32" s="150" t="s">
        <v>132</v>
      </c>
      <c r="AN32" s="150" t="s">
        <v>132</v>
      </c>
      <c r="AO32" s="150" t="s">
        <v>132</v>
      </c>
      <c r="AP32" s="150" t="s">
        <v>132</v>
      </c>
      <c r="AQ32" s="150" t="s">
        <v>132</v>
      </c>
      <c r="AR32" s="150" t="s">
        <v>132</v>
      </c>
      <c r="AS32" s="150" t="s">
        <v>132</v>
      </c>
      <c r="AT32" s="150" t="s">
        <v>132</v>
      </c>
      <c r="AU32" s="150" t="s">
        <v>132</v>
      </c>
      <c r="AV32" s="150" t="s">
        <v>132</v>
      </c>
      <c r="AW32" s="150" t="s">
        <v>132</v>
      </c>
      <c r="AX32" s="150" t="s">
        <v>132</v>
      </c>
      <c r="AY32" s="150" t="s">
        <v>132</v>
      </c>
      <c r="AZ32" s="150" t="s">
        <v>132</v>
      </c>
      <c r="BA32" s="150" t="s">
        <v>132</v>
      </c>
      <c r="BB32" s="150" t="s">
        <v>132</v>
      </c>
      <c r="BC32" s="150" t="s">
        <v>132</v>
      </c>
      <c r="BD32" s="150" t="s">
        <v>132</v>
      </c>
      <c r="BE32" s="150" t="s">
        <v>132</v>
      </c>
      <c r="BF32" s="150" t="s">
        <v>132</v>
      </c>
      <c r="BG32" s="150" t="s">
        <v>132</v>
      </c>
      <c r="BH32" s="150" t="s">
        <v>132</v>
      </c>
      <c r="BI32" s="150" t="s">
        <v>132</v>
      </c>
      <c r="BJ32" s="150" t="s">
        <v>132</v>
      </c>
      <c r="BK32" s="150" t="s">
        <v>132</v>
      </c>
      <c r="BL32" s="150" t="s">
        <v>132</v>
      </c>
      <c r="BM32" s="150" t="s">
        <v>132</v>
      </c>
      <c r="BN32" s="150" t="s">
        <v>132</v>
      </c>
      <c r="BO32" s="150" t="s">
        <v>132</v>
      </c>
      <c r="BP32" s="150" t="s">
        <v>132</v>
      </c>
      <c r="BQ32" s="150" t="s">
        <v>132</v>
      </c>
      <c r="BR32" s="150" t="s">
        <v>132</v>
      </c>
      <c r="BS32" s="150" t="s">
        <v>132</v>
      </c>
      <c r="BT32" s="150" t="s">
        <v>132</v>
      </c>
      <c r="BU32" s="150" t="s">
        <v>132</v>
      </c>
      <c r="BV32" s="150" t="s">
        <v>132</v>
      </c>
      <c r="BW32" s="150" t="s">
        <v>132</v>
      </c>
      <c r="BX32" s="150" t="s">
        <v>132</v>
      </c>
      <c r="BY32" s="150" t="s">
        <v>132</v>
      </c>
      <c r="BZ32" s="150" t="s">
        <v>132</v>
      </c>
      <c r="CA32" s="150" t="s">
        <v>132</v>
      </c>
      <c r="CB32" s="150" t="s">
        <v>132</v>
      </c>
      <c r="CC32" s="190" t="s">
        <v>132</v>
      </c>
      <c r="CD32" s="190" t="s">
        <v>132</v>
      </c>
      <c r="CE32" s="190" t="s">
        <v>132</v>
      </c>
      <c r="CF32" s="190" t="s">
        <v>132</v>
      </c>
      <c r="CG32" s="190" t="s">
        <v>132</v>
      </c>
      <c r="CH32" s="190" t="s">
        <v>132</v>
      </c>
      <c r="CI32" s="190" t="s">
        <v>132</v>
      </c>
      <c r="CJ32" s="190" t="s">
        <v>132</v>
      </c>
      <c r="CK32" s="190" t="s">
        <v>132</v>
      </c>
      <c r="CL32" s="190" t="s">
        <v>132</v>
      </c>
      <c r="CM32" s="190" t="s">
        <v>132</v>
      </c>
      <c r="CN32" s="190" t="s">
        <v>132</v>
      </c>
      <c r="CO32" s="190" t="s">
        <v>132</v>
      </c>
      <c r="CP32" s="190" t="s">
        <v>132</v>
      </c>
      <c r="CQ32" s="190" t="s">
        <v>132</v>
      </c>
      <c r="CR32" s="190" t="s">
        <v>132</v>
      </c>
      <c r="CS32" s="190" t="s">
        <v>132</v>
      </c>
      <c r="CT32" s="190" t="s">
        <v>132</v>
      </c>
      <c r="CU32" s="190" t="s">
        <v>132</v>
      </c>
      <c r="CV32" s="190" t="s">
        <v>132</v>
      </c>
      <c r="CW32" s="190" t="s">
        <v>132</v>
      </c>
      <c r="CX32" s="190" t="s">
        <v>132</v>
      </c>
      <c r="CY32" s="190" t="s">
        <v>132</v>
      </c>
      <c r="CZ32" s="190" t="s">
        <v>132</v>
      </c>
      <c r="DA32" s="190" t="s">
        <v>132</v>
      </c>
      <c r="DB32" s="190" t="s">
        <v>132</v>
      </c>
      <c r="DC32" s="190" t="s">
        <v>132</v>
      </c>
      <c r="DD32" s="190" t="s">
        <v>132</v>
      </c>
      <c r="DE32" s="190" t="s">
        <v>132</v>
      </c>
      <c r="DF32" s="190" t="s">
        <v>132</v>
      </c>
      <c r="DG32" s="190" t="s">
        <v>132</v>
      </c>
      <c r="DH32" s="190" t="s">
        <v>132</v>
      </c>
    </row>
    <row r="33" spans="1:112">
      <c r="A33" s="150" t="s">
        <v>140</v>
      </c>
      <c r="B33" s="150">
        <v>5</v>
      </c>
      <c r="C33" s="150">
        <v>5</v>
      </c>
      <c r="D33" s="150" t="s">
        <v>233</v>
      </c>
      <c r="E33" s="150" t="s">
        <v>229</v>
      </c>
      <c r="F33" s="150">
        <v>64</v>
      </c>
      <c r="G33" s="150" t="s">
        <v>234</v>
      </c>
      <c r="H33" s="150" t="s">
        <v>136</v>
      </c>
      <c r="I33" s="150" t="s">
        <v>240</v>
      </c>
      <c r="J33" s="150" t="s">
        <v>240</v>
      </c>
      <c r="K33" s="150" t="s">
        <v>132</v>
      </c>
      <c r="L33" s="150" t="s">
        <v>284</v>
      </c>
      <c r="M33" s="150">
        <v>4.3</v>
      </c>
      <c r="N33" s="150">
        <v>66.3</v>
      </c>
      <c r="O33" s="150">
        <f>M33/10</f>
        <v>0.43</v>
      </c>
      <c r="P33" s="150">
        <f>N33/10</f>
        <v>6.63</v>
      </c>
      <c r="Q33" s="150" t="s">
        <v>132</v>
      </c>
      <c r="R33" s="150" t="s">
        <v>132</v>
      </c>
      <c r="S33" s="150" t="s">
        <v>132</v>
      </c>
      <c r="T33" s="150" t="s">
        <v>132</v>
      </c>
      <c r="U33" s="150" t="s">
        <v>132</v>
      </c>
      <c r="V33" s="150" t="s">
        <v>132</v>
      </c>
      <c r="W33" s="150" t="s">
        <v>132</v>
      </c>
      <c r="X33" s="150" t="s">
        <v>132</v>
      </c>
      <c r="Y33" s="150" t="s">
        <v>132</v>
      </c>
      <c r="Z33" s="150" t="s">
        <v>132</v>
      </c>
      <c r="AA33" s="150" t="s">
        <v>132</v>
      </c>
      <c r="AB33" s="150" t="s">
        <v>132</v>
      </c>
      <c r="AC33" s="150" t="s">
        <v>132</v>
      </c>
      <c r="AD33" s="150" t="s">
        <v>132</v>
      </c>
      <c r="AE33" s="150" t="s">
        <v>132</v>
      </c>
      <c r="AF33" s="150" t="s">
        <v>132</v>
      </c>
      <c r="AG33" s="150" t="s">
        <v>132</v>
      </c>
      <c r="AH33" s="150" t="s">
        <v>132</v>
      </c>
      <c r="AI33" s="150" t="s">
        <v>132</v>
      </c>
      <c r="AJ33" s="150" t="s">
        <v>132</v>
      </c>
      <c r="AK33" s="150" t="s">
        <v>132</v>
      </c>
      <c r="AL33" s="150" t="s">
        <v>132</v>
      </c>
      <c r="AM33" s="150" t="s">
        <v>132</v>
      </c>
      <c r="AN33" s="150" t="s">
        <v>132</v>
      </c>
      <c r="AO33" s="150" t="s">
        <v>132</v>
      </c>
      <c r="AP33" s="150" t="s">
        <v>132</v>
      </c>
      <c r="AQ33" s="150" t="s">
        <v>132</v>
      </c>
      <c r="AR33" s="150" t="s">
        <v>132</v>
      </c>
      <c r="AS33" s="150" t="s">
        <v>132</v>
      </c>
      <c r="AT33" s="150" t="s">
        <v>132</v>
      </c>
      <c r="AU33" s="150" t="s">
        <v>132</v>
      </c>
      <c r="AV33" s="150" t="s">
        <v>132</v>
      </c>
      <c r="AW33" s="150" t="s">
        <v>132</v>
      </c>
      <c r="AX33" s="150" t="s">
        <v>132</v>
      </c>
      <c r="AY33" s="150" t="s">
        <v>132</v>
      </c>
      <c r="AZ33" s="150" t="s">
        <v>132</v>
      </c>
      <c r="BA33" s="150" t="s">
        <v>132</v>
      </c>
      <c r="BB33" s="150" t="s">
        <v>132</v>
      </c>
      <c r="BC33" s="150" t="s">
        <v>132</v>
      </c>
      <c r="BD33" s="150" t="s">
        <v>132</v>
      </c>
      <c r="BE33" s="150" t="s">
        <v>132</v>
      </c>
      <c r="BF33" s="150" t="s">
        <v>132</v>
      </c>
      <c r="BG33" s="150" t="s">
        <v>132</v>
      </c>
      <c r="BH33" s="150" t="s">
        <v>132</v>
      </c>
      <c r="BI33" s="150" t="s">
        <v>132</v>
      </c>
      <c r="BJ33" s="150" t="s">
        <v>132</v>
      </c>
      <c r="BK33" s="150" t="s">
        <v>132</v>
      </c>
      <c r="BL33" s="150" t="s">
        <v>132</v>
      </c>
      <c r="BM33" s="150" t="s">
        <v>132</v>
      </c>
      <c r="BN33" s="150" t="s">
        <v>132</v>
      </c>
      <c r="BO33" s="150" t="s">
        <v>132</v>
      </c>
      <c r="BP33" s="150" t="s">
        <v>132</v>
      </c>
      <c r="BQ33" s="150" t="s">
        <v>132</v>
      </c>
      <c r="BR33" s="150" t="s">
        <v>132</v>
      </c>
      <c r="BS33" s="150" t="s">
        <v>132</v>
      </c>
      <c r="BT33" s="150" t="s">
        <v>132</v>
      </c>
      <c r="BU33" s="150" t="s">
        <v>132</v>
      </c>
      <c r="BV33" s="150" t="s">
        <v>132</v>
      </c>
      <c r="BW33" s="150" t="s">
        <v>132</v>
      </c>
      <c r="BX33" s="150" t="s">
        <v>132</v>
      </c>
      <c r="BY33" s="150" t="s">
        <v>132</v>
      </c>
      <c r="BZ33" s="150" t="s">
        <v>132</v>
      </c>
      <c r="CA33" s="150" t="s">
        <v>132</v>
      </c>
      <c r="CB33" s="150" t="s">
        <v>132</v>
      </c>
      <c r="CC33" s="190" t="s">
        <v>132</v>
      </c>
      <c r="CD33" s="190" t="s">
        <v>132</v>
      </c>
      <c r="CE33" s="190" t="s">
        <v>132</v>
      </c>
      <c r="CF33" s="190" t="s">
        <v>132</v>
      </c>
      <c r="CG33" s="190" t="s">
        <v>132</v>
      </c>
      <c r="CH33" s="190" t="s">
        <v>132</v>
      </c>
      <c r="CI33" s="190" t="s">
        <v>132</v>
      </c>
      <c r="CJ33" s="190" t="s">
        <v>132</v>
      </c>
      <c r="CK33" s="190" t="s">
        <v>132</v>
      </c>
      <c r="CL33" s="190" t="s">
        <v>132</v>
      </c>
      <c r="CM33" s="190" t="s">
        <v>132</v>
      </c>
      <c r="CN33" s="190" t="s">
        <v>132</v>
      </c>
      <c r="CO33" s="190" t="s">
        <v>132</v>
      </c>
      <c r="CP33" s="190" t="s">
        <v>132</v>
      </c>
      <c r="CQ33" s="190" t="s">
        <v>132</v>
      </c>
      <c r="CR33" s="190" t="s">
        <v>132</v>
      </c>
      <c r="CS33" s="190" t="s">
        <v>132</v>
      </c>
      <c r="CT33" s="190" t="s">
        <v>132</v>
      </c>
      <c r="CU33" s="190" t="s">
        <v>132</v>
      </c>
      <c r="CV33" s="190" t="s">
        <v>132</v>
      </c>
      <c r="CW33" s="190" t="s">
        <v>132</v>
      </c>
      <c r="CX33" s="190" t="s">
        <v>132</v>
      </c>
      <c r="CY33" s="190" t="s">
        <v>132</v>
      </c>
      <c r="CZ33" s="190" t="s">
        <v>132</v>
      </c>
      <c r="DA33" s="190" t="s">
        <v>132</v>
      </c>
      <c r="DB33" s="190" t="s">
        <v>132</v>
      </c>
      <c r="DC33" s="190" t="s">
        <v>132</v>
      </c>
      <c r="DD33" s="190" t="s">
        <v>132</v>
      </c>
      <c r="DE33" s="190" t="s">
        <v>132</v>
      </c>
      <c r="DF33" s="190" t="s">
        <v>132</v>
      </c>
      <c r="DG33" s="190" t="s">
        <v>132</v>
      </c>
      <c r="DH33" s="190" t="s">
        <v>132</v>
      </c>
    </row>
    <row r="34" spans="1:112">
      <c r="A34" s="150" t="s">
        <v>140</v>
      </c>
      <c r="B34" s="150">
        <v>5</v>
      </c>
      <c r="C34" s="150">
        <v>5</v>
      </c>
      <c r="D34" s="150" t="s">
        <v>233</v>
      </c>
      <c r="E34" s="150" t="s">
        <v>229</v>
      </c>
      <c r="F34" s="150">
        <v>64</v>
      </c>
      <c r="G34" s="150" t="s">
        <v>234</v>
      </c>
      <c r="H34" s="150" t="s">
        <v>136</v>
      </c>
      <c r="I34" s="150" t="s">
        <v>240</v>
      </c>
      <c r="J34" s="150" t="s">
        <v>240</v>
      </c>
      <c r="K34" s="150" t="s">
        <v>132</v>
      </c>
      <c r="L34" s="150" t="s">
        <v>284</v>
      </c>
      <c r="M34" s="150">
        <v>3.7</v>
      </c>
      <c r="N34" s="150">
        <v>20.7</v>
      </c>
      <c r="O34" s="150">
        <f t="shared" ref="O34:O39" si="2">M34/10</f>
        <v>0.37</v>
      </c>
      <c r="P34" s="150">
        <f t="shared" ref="P34:P39" si="3">N34/10</f>
        <v>2.0699999999999998</v>
      </c>
      <c r="Q34" s="150" t="s">
        <v>132</v>
      </c>
      <c r="R34" s="150" t="s">
        <v>132</v>
      </c>
      <c r="S34" s="150" t="s">
        <v>132</v>
      </c>
      <c r="T34" s="150" t="s">
        <v>132</v>
      </c>
      <c r="U34" s="150" t="s">
        <v>132</v>
      </c>
      <c r="V34" s="150" t="s">
        <v>132</v>
      </c>
      <c r="W34" s="150" t="s">
        <v>132</v>
      </c>
      <c r="X34" s="150" t="s">
        <v>132</v>
      </c>
      <c r="Y34" s="150" t="s">
        <v>132</v>
      </c>
      <c r="Z34" s="150" t="s">
        <v>132</v>
      </c>
      <c r="AA34" s="150" t="s">
        <v>132</v>
      </c>
      <c r="AB34" s="150" t="s">
        <v>132</v>
      </c>
      <c r="AC34" s="150" t="s">
        <v>132</v>
      </c>
      <c r="AD34" s="150" t="s">
        <v>132</v>
      </c>
      <c r="AE34" s="150" t="s">
        <v>132</v>
      </c>
      <c r="AF34" s="150" t="s">
        <v>132</v>
      </c>
      <c r="AG34" s="150" t="s">
        <v>132</v>
      </c>
      <c r="AH34" s="150" t="s">
        <v>132</v>
      </c>
      <c r="AI34" s="150" t="s">
        <v>132</v>
      </c>
      <c r="AJ34" s="150" t="s">
        <v>132</v>
      </c>
      <c r="AK34" s="150" t="s">
        <v>132</v>
      </c>
      <c r="AL34" s="150" t="s">
        <v>132</v>
      </c>
      <c r="AM34" s="150" t="s">
        <v>132</v>
      </c>
      <c r="AN34" s="150" t="s">
        <v>132</v>
      </c>
      <c r="AO34" s="150" t="s">
        <v>132</v>
      </c>
      <c r="AP34" s="150" t="s">
        <v>132</v>
      </c>
      <c r="AQ34" s="150" t="s">
        <v>132</v>
      </c>
      <c r="AR34" s="150" t="s">
        <v>132</v>
      </c>
      <c r="AS34" s="150" t="s">
        <v>132</v>
      </c>
      <c r="AT34" s="150" t="s">
        <v>132</v>
      </c>
      <c r="AU34" s="150" t="s">
        <v>132</v>
      </c>
      <c r="AV34" s="150" t="s">
        <v>132</v>
      </c>
      <c r="AW34" s="150" t="s">
        <v>132</v>
      </c>
      <c r="AX34" s="150" t="s">
        <v>132</v>
      </c>
      <c r="AY34" s="150" t="s">
        <v>132</v>
      </c>
      <c r="AZ34" s="150" t="s">
        <v>132</v>
      </c>
      <c r="BA34" s="150" t="s">
        <v>132</v>
      </c>
      <c r="BB34" s="150" t="s">
        <v>132</v>
      </c>
      <c r="BC34" s="150" t="s">
        <v>132</v>
      </c>
      <c r="BD34" s="150" t="s">
        <v>132</v>
      </c>
      <c r="BE34" s="150" t="s">
        <v>132</v>
      </c>
      <c r="BF34" s="150" t="s">
        <v>132</v>
      </c>
      <c r="BG34" s="150" t="s">
        <v>132</v>
      </c>
      <c r="BH34" s="150" t="s">
        <v>132</v>
      </c>
      <c r="BI34" s="150" t="s">
        <v>132</v>
      </c>
      <c r="BJ34" s="150" t="s">
        <v>132</v>
      </c>
      <c r="BK34" s="150" t="s">
        <v>132</v>
      </c>
      <c r="BL34" s="150" t="s">
        <v>132</v>
      </c>
      <c r="BM34" s="150" t="s">
        <v>132</v>
      </c>
      <c r="BN34" s="150" t="s">
        <v>132</v>
      </c>
      <c r="BO34" s="150" t="s">
        <v>132</v>
      </c>
      <c r="BP34" s="150" t="s">
        <v>132</v>
      </c>
      <c r="BQ34" s="150" t="s">
        <v>132</v>
      </c>
      <c r="BR34" s="150" t="s">
        <v>132</v>
      </c>
      <c r="BS34" s="150" t="s">
        <v>132</v>
      </c>
      <c r="BT34" s="150" t="s">
        <v>132</v>
      </c>
      <c r="BU34" s="150" t="s">
        <v>132</v>
      </c>
      <c r="BV34" s="150" t="s">
        <v>132</v>
      </c>
      <c r="BW34" s="150" t="s">
        <v>132</v>
      </c>
      <c r="BX34" s="150" t="s">
        <v>132</v>
      </c>
      <c r="BY34" s="150" t="s">
        <v>132</v>
      </c>
      <c r="BZ34" s="150" t="s">
        <v>132</v>
      </c>
      <c r="CA34" s="150" t="s">
        <v>132</v>
      </c>
      <c r="CB34" s="150" t="s">
        <v>132</v>
      </c>
      <c r="CC34" s="190" t="s">
        <v>132</v>
      </c>
      <c r="CD34" s="190" t="s">
        <v>132</v>
      </c>
      <c r="CE34" s="190" t="s">
        <v>132</v>
      </c>
      <c r="CF34" s="190" t="s">
        <v>132</v>
      </c>
      <c r="CG34" s="190" t="s">
        <v>132</v>
      </c>
      <c r="CH34" s="190" t="s">
        <v>132</v>
      </c>
      <c r="CI34" s="190" t="s">
        <v>132</v>
      </c>
      <c r="CJ34" s="190" t="s">
        <v>132</v>
      </c>
      <c r="CK34" s="190" t="s">
        <v>132</v>
      </c>
      <c r="CL34" s="190" t="s">
        <v>132</v>
      </c>
      <c r="CM34" s="190" t="s">
        <v>132</v>
      </c>
      <c r="CN34" s="190" t="s">
        <v>132</v>
      </c>
      <c r="CO34" s="190" t="s">
        <v>132</v>
      </c>
      <c r="CP34" s="190" t="s">
        <v>132</v>
      </c>
      <c r="CQ34" s="190" t="s">
        <v>132</v>
      </c>
      <c r="CR34" s="190" t="s">
        <v>132</v>
      </c>
      <c r="CS34" s="190" t="s">
        <v>132</v>
      </c>
      <c r="CT34" s="190" t="s">
        <v>132</v>
      </c>
      <c r="CU34" s="190" t="s">
        <v>132</v>
      </c>
      <c r="CV34" s="190" t="s">
        <v>132</v>
      </c>
      <c r="CW34" s="190" t="s">
        <v>132</v>
      </c>
      <c r="CX34" s="190" t="s">
        <v>132</v>
      </c>
      <c r="CY34" s="190" t="s">
        <v>132</v>
      </c>
      <c r="CZ34" s="190" t="s">
        <v>132</v>
      </c>
      <c r="DA34" s="190" t="s">
        <v>132</v>
      </c>
      <c r="DB34" s="190" t="s">
        <v>132</v>
      </c>
      <c r="DC34" s="190" t="s">
        <v>132</v>
      </c>
      <c r="DD34" s="190" t="s">
        <v>132</v>
      </c>
      <c r="DE34" s="190" t="s">
        <v>132</v>
      </c>
      <c r="DF34" s="190" t="s">
        <v>132</v>
      </c>
      <c r="DG34" s="190" t="s">
        <v>132</v>
      </c>
      <c r="DH34" s="190" t="s">
        <v>132</v>
      </c>
    </row>
    <row r="35" spans="1:112">
      <c r="A35" s="150" t="s">
        <v>140</v>
      </c>
      <c r="B35" s="150">
        <v>5</v>
      </c>
      <c r="C35" s="150">
        <v>5</v>
      </c>
      <c r="D35" s="150" t="s">
        <v>233</v>
      </c>
      <c r="E35" s="150" t="s">
        <v>230</v>
      </c>
      <c r="F35" s="150">
        <v>64</v>
      </c>
      <c r="G35" s="150" t="s">
        <v>234</v>
      </c>
      <c r="H35" s="150" t="s">
        <v>136</v>
      </c>
      <c r="I35" s="150" t="s">
        <v>240</v>
      </c>
      <c r="J35" s="150" t="s">
        <v>240</v>
      </c>
      <c r="K35" s="150" t="s">
        <v>132</v>
      </c>
      <c r="L35" s="150" t="s">
        <v>284</v>
      </c>
      <c r="M35" s="150">
        <v>76</v>
      </c>
      <c r="N35" s="150">
        <v>96</v>
      </c>
      <c r="O35" s="150">
        <f t="shared" si="2"/>
        <v>7.6</v>
      </c>
      <c r="P35" s="150">
        <f t="shared" si="3"/>
        <v>9.6</v>
      </c>
      <c r="Q35" s="150" t="s">
        <v>132</v>
      </c>
      <c r="R35" s="150" t="s">
        <v>132</v>
      </c>
      <c r="S35" s="150" t="s">
        <v>132</v>
      </c>
      <c r="T35" s="150" t="s">
        <v>132</v>
      </c>
      <c r="U35" s="150" t="s">
        <v>132</v>
      </c>
      <c r="V35" s="150" t="s">
        <v>132</v>
      </c>
      <c r="W35" s="150" t="s">
        <v>132</v>
      </c>
      <c r="X35" s="150" t="s">
        <v>132</v>
      </c>
      <c r="Y35" s="150" t="s">
        <v>132</v>
      </c>
      <c r="Z35" s="150" t="s">
        <v>132</v>
      </c>
      <c r="AA35" s="150" t="s">
        <v>132</v>
      </c>
      <c r="AB35" s="150" t="s">
        <v>132</v>
      </c>
      <c r="AC35" s="150" t="s">
        <v>132</v>
      </c>
      <c r="AD35" s="150" t="s">
        <v>132</v>
      </c>
      <c r="AE35" s="150" t="s">
        <v>132</v>
      </c>
      <c r="AF35" s="150" t="s">
        <v>132</v>
      </c>
      <c r="AG35" s="150" t="s">
        <v>132</v>
      </c>
      <c r="AH35" s="150" t="s">
        <v>132</v>
      </c>
      <c r="AI35" s="150" t="s">
        <v>132</v>
      </c>
      <c r="AJ35" s="150" t="s">
        <v>132</v>
      </c>
      <c r="AK35" s="150" t="s">
        <v>132</v>
      </c>
      <c r="AL35" s="150" t="s">
        <v>132</v>
      </c>
      <c r="AM35" s="150" t="s">
        <v>132</v>
      </c>
      <c r="AN35" s="150" t="s">
        <v>132</v>
      </c>
      <c r="AO35" s="150" t="s">
        <v>132</v>
      </c>
      <c r="AP35" s="150" t="s">
        <v>132</v>
      </c>
      <c r="AQ35" s="150" t="s">
        <v>132</v>
      </c>
      <c r="AR35" s="150" t="s">
        <v>132</v>
      </c>
      <c r="AS35" s="150" t="s">
        <v>132</v>
      </c>
      <c r="AT35" s="150" t="s">
        <v>132</v>
      </c>
      <c r="AU35" s="150" t="s">
        <v>132</v>
      </c>
      <c r="AV35" s="150" t="s">
        <v>132</v>
      </c>
      <c r="AW35" s="150" t="s">
        <v>132</v>
      </c>
      <c r="AX35" s="150" t="s">
        <v>132</v>
      </c>
      <c r="AY35" s="150" t="s">
        <v>132</v>
      </c>
      <c r="AZ35" s="150" t="s">
        <v>132</v>
      </c>
      <c r="BA35" s="150" t="s">
        <v>132</v>
      </c>
      <c r="BB35" s="150" t="s">
        <v>132</v>
      </c>
      <c r="BC35" s="150" t="s">
        <v>132</v>
      </c>
      <c r="BD35" s="150" t="s">
        <v>132</v>
      </c>
      <c r="BE35" s="150" t="s">
        <v>132</v>
      </c>
      <c r="BF35" s="150" t="s">
        <v>132</v>
      </c>
      <c r="BG35" s="150" t="s">
        <v>132</v>
      </c>
      <c r="BH35" s="150" t="s">
        <v>132</v>
      </c>
      <c r="BI35" s="150" t="s">
        <v>132</v>
      </c>
      <c r="BJ35" s="150" t="s">
        <v>132</v>
      </c>
      <c r="BK35" s="150" t="s">
        <v>132</v>
      </c>
      <c r="BL35" s="150" t="s">
        <v>132</v>
      </c>
      <c r="BM35" s="150" t="s">
        <v>132</v>
      </c>
      <c r="BN35" s="150" t="s">
        <v>132</v>
      </c>
      <c r="BO35" s="150" t="s">
        <v>132</v>
      </c>
      <c r="BP35" s="150" t="s">
        <v>132</v>
      </c>
      <c r="BQ35" s="150" t="s">
        <v>132</v>
      </c>
      <c r="BR35" s="150" t="s">
        <v>132</v>
      </c>
      <c r="BS35" s="150" t="s">
        <v>132</v>
      </c>
      <c r="BT35" s="150" t="s">
        <v>132</v>
      </c>
      <c r="BU35" s="150" t="s">
        <v>132</v>
      </c>
      <c r="BV35" s="150" t="s">
        <v>132</v>
      </c>
      <c r="BW35" s="150" t="s">
        <v>132</v>
      </c>
      <c r="BX35" s="150" t="s">
        <v>132</v>
      </c>
      <c r="BY35" s="150" t="s">
        <v>132</v>
      </c>
      <c r="BZ35" s="150" t="s">
        <v>132</v>
      </c>
      <c r="CA35" s="150" t="s">
        <v>132</v>
      </c>
      <c r="CB35" s="150" t="s">
        <v>132</v>
      </c>
      <c r="CC35" s="190" t="s">
        <v>132</v>
      </c>
      <c r="CD35" s="190" t="s">
        <v>132</v>
      </c>
      <c r="CE35" s="190" t="s">
        <v>132</v>
      </c>
      <c r="CF35" s="190" t="s">
        <v>132</v>
      </c>
      <c r="CG35" s="190" t="s">
        <v>132</v>
      </c>
      <c r="CH35" s="190" t="s">
        <v>132</v>
      </c>
      <c r="CI35" s="190" t="s">
        <v>132</v>
      </c>
      <c r="CJ35" s="190" t="s">
        <v>132</v>
      </c>
      <c r="CK35" s="190" t="s">
        <v>132</v>
      </c>
      <c r="CL35" s="190" t="s">
        <v>132</v>
      </c>
      <c r="CM35" s="190" t="s">
        <v>132</v>
      </c>
      <c r="CN35" s="190" t="s">
        <v>132</v>
      </c>
      <c r="CO35" s="190" t="s">
        <v>132</v>
      </c>
      <c r="CP35" s="190" t="s">
        <v>132</v>
      </c>
      <c r="CQ35" s="190" t="s">
        <v>132</v>
      </c>
      <c r="CR35" s="190" t="s">
        <v>132</v>
      </c>
      <c r="CS35" s="190" t="s">
        <v>132</v>
      </c>
      <c r="CT35" s="190" t="s">
        <v>132</v>
      </c>
      <c r="CU35" s="190" t="s">
        <v>132</v>
      </c>
      <c r="CV35" s="190" t="s">
        <v>132</v>
      </c>
      <c r="CW35" s="190" t="s">
        <v>132</v>
      </c>
      <c r="CX35" s="190" t="s">
        <v>132</v>
      </c>
      <c r="CY35" s="190" t="s">
        <v>132</v>
      </c>
      <c r="CZ35" s="190" t="s">
        <v>132</v>
      </c>
      <c r="DA35" s="190" t="s">
        <v>132</v>
      </c>
      <c r="DB35" s="190" t="s">
        <v>132</v>
      </c>
      <c r="DC35" s="190" t="s">
        <v>132</v>
      </c>
      <c r="DD35" s="190" t="s">
        <v>132</v>
      </c>
      <c r="DE35" s="190" t="s">
        <v>132</v>
      </c>
      <c r="DF35" s="190" t="s">
        <v>132</v>
      </c>
      <c r="DG35" s="190" t="s">
        <v>132</v>
      </c>
      <c r="DH35" s="190" t="s">
        <v>132</v>
      </c>
    </row>
    <row r="36" spans="1:112">
      <c r="A36" s="150" t="s">
        <v>140</v>
      </c>
      <c r="B36" s="150">
        <v>5</v>
      </c>
      <c r="C36" s="150">
        <v>5</v>
      </c>
      <c r="D36" s="150" t="s">
        <v>233</v>
      </c>
      <c r="E36" s="150" t="s">
        <v>229</v>
      </c>
      <c r="F36" s="150">
        <v>64</v>
      </c>
      <c r="G36" s="150" t="s">
        <v>234</v>
      </c>
      <c r="H36" s="150" t="s">
        <v>136</v>
      </c>
      <c r="I36" s="150" t="s">
        <v>240</v>
      </c>
      <c r="J36" s="150" t="s">
        <v>240</v>
      </c>
      <c r="K36" s="150" t="s">
        <v>132</v>
      </c>
      <c r="L36" s="150" t="s">
        <v>283</v>
      </c>
      <c r="M36" s="150">
        <v>30</v>
      </c>
      <c r="N36" s="150">
        <v>82</v>
      </c>
      <c r="O36" s="150">
        <f t="shared" si="2"/>
        <v>3</v>
      </c>
      <c r="P36" s="150">
        <f t="shared" si="3"/>
        <v>8.1999999999999993</v>
      </c>
      <c r="Q36" s="150" t="s">
        <v>132</v>
      </c>
      <c r="R36" s="150" t="s">
        <v>132</v>
      </c>
      <c r="S36" s="150" t="s">
        <v>132</v>
      </c>
      <c r="T36" s="150" t="s">
        <v>132</v>
      </c>
      <c r="U36" s="150" t="s">
        <v>132</v>
      </c>
      <c r="V36" s="150" t="s">
        <v>132</v>
      </c>
      <c r="W36" s="150" t="s">
        <v>132</v>
      </c>
      <c r="X36" s="150" t="s">
        <v>132</v>
      </c>
      <c r="Y36" s="150" t="s">
        <v>132</v>
      </c>
      <c r="Z36" s="150" t="s">
        <v>132</v>
      </c>
      <c r="AA36" s="150" t="s">
        <v>132</v>
      </c>
      <c r="AB36" s="150" t="s">
        <v>132</v>
      </c>
      <c r="AC36" s="150" t="s">
        <v>132</v>
      </c>
      <c r="AD36" s="150" t="s">
        <v>132</v>
      </c>
      <c r="AE36" s="150" t="s">
        <v>132</v>
      </c>
      <c r="AF36" s="150" t="s">
        <v>132</v>
      </c>
      <c r="AG36" s="150" t="s">
        <v>132</v>
      </c>
      <c r="AH36" s="150" t="s">
        <v>132</v>
      </c>
      <c r="AI36" s="150" t="s">
        <v>132</v>
      </c>
      <c r="AJ36" s="150" t="s">
        <v>132</v>
      </c>
      <c r="AK36" s="150" t="s">
        <v>132</v>
      </c>
      <c r="AL36" s="150" t="s">
        <v>132</v>
      </c>
      <c r="AM36" s="150" t="s">
        <v>132</v>
      </c>
      <c r="AN36" s="150" t="s">
        <v>132</v>
      </c>
      <c r="AO36" s="150" t="s">
        <v>132</v>
      </c>
      <c r="AP36" s="150" t="s">
        <v>132</v>
      </c>
      <c r="AQ36" s="150" t="s">
        <v>132</v>
      </c>
      <c r="AR36" s="150" t="s">
        <v>132</v>
      </c>
      <c r="AS36" s="150" t="s">
        <v>132</v>
      </c>
      <c r="AT36" s="150" t="s">
        <v>132</v>
      </c>
      <c r="AU36" s="150" t="s">
        <v>132</v>
      </c>
      <c r="AV36" s="150" t="s">
        <v>132</v>
      </c>
      <c r="AW36" s="150" t="s">
        <v>132</v>
      </c>
      <c r="AX36" s="150" t="s">
        <v>132</v>
      </c>
      <c r="AY36" s="150" t="s">
        <v>132</v>
      </c>
      <c r="AZ36" s="150" t="s">
        <v>132</v>
      </c>
      <c r="BA36" s="150" t="s">
        <v>132</v>
      </c>
      <c r="BB36" s="150" t="s">
        <v>132</v>
      </c>
      <c r="BC36" s="150" t="s">
        <v>132</v>
      </c>
      <c r="BD36" s="150" t="s">
        <v>132</v>
      </c>
      <c r="BE36" s="150" t="s">
        <v>132</v>
      </c>
      <c r="BF36" s="150" t="s">
        <v>132</v>
      </c>
      <c r="BG36" s="150" t="s">
        <v>132</v>
      </c>
      <c r="BH36" s="150" t="s">
        <v>132</v>
      </c>
      <c r="BI36" s="150" t="s">
        <v>132</v>
      </c>
      <c r="BJ36" s="150" t="s">
        <v>132</v>
      </c>
      <c r="BK36" s="150" t="s">
        <v>132</v>
      </c>
      <c r="BL36" s="150" t="s">
        <v>132</v>
      </c>
      <c r="BM36" s="150" t="s">
        <v>132</v>
      </c>
      <c r="BN36" s="150" t="s">
        <v>132</v>
      </c>
      <c r="BO36" s="150" t="s">
        <v>132</v>
      </c>
      <c r="BP36" s="150" t="s">
        <v>132</v>
      </c>
      <c r="BQ36" s="150" t="s">
        <v>132</v>
      </c>
      <c r="BR36" s="150" t="s">
        <v>132</v>
      </c>
      <c r="BS36" s="150" t="s">
        <v>132</v>
      </c>
      <c r="BT36" s="150" t="s">
        <v>132</v>
      </c>
      <c r="BU36" s="150" t="s">
        <v>132</v>
      </c>
      <c r="BV36" s="150" t="s">
        <v>132</v>
      </c>
      <c r="BW36" s="150" t="s">
        <v>132</v>
      </c>
      <c r="BX36" s="150" t="s">
        <v>132</v>
      </c>
      <c r="BY36" s="150" t="s">
        <v>132</v>
      </c>
      <c r="BZ36" s="150" t="s">
        <v>132</v>
      </c>
      <c r="CA36" s="150" t="s">
        <v>132</v>
      </c>
      <c r="CB36" s="150" t="s">
        <v>132</v>
      </c>
      <c r="CC36" s="190" t="s">
        <v>132</v>
      </c>
      <c r="CD36" s="190" t="s">
        <v>132</v>
      </c>
      <c r="CE36" s="190" t="s">
        <v>132</v>
      </c>
      <c r="CF36" s="190" t="s">
        <v>132</v>
      </c>
      <c r="CG36" s="190" t="s">
        <v>132</v>
      </c>
      <c r="CH36" s="190" t="s">
        <v>132</v>
      </c>
      <c r="CI36" s="190" t="s">
        <v>132</v>
      </c>
      <c r="CJ36" s="190" t="s">
        <v>132</v>
      </c>
      <c r="CK36" s="190" t="s">
        <v>132</v>
      </c>
      <c r="CL36" s="190" t="s">
        <v>132</v>
      </c>
      <c r="CM36" s="190" t="s">
        <v>132</v>
      </c>
      <c r="CN36" s="190" t="s">
        <v>132</v>
      </c>
      <c r="CO36" s="190" t="s">
        <v>132</v>
      </c>
      <c r="CP36" s="190" t="s">
        <v>132</v>
      </c>
      <c r="CQ36" s="190" t="s">
        <v>132</v>
      </c>
      <c r="CR36" s="190" t="s">
        <v>132</v>
      </c>
      <c r="CS36" s="190" t="s">
        <v>132</v>
      </c>
      <c r="CT36" s="190" t="s">
        <v>132</v>
      </c>
      <c r="CU36" s="190" t="s">
        <v>132</v>
      </c>
      <c r="CV36" s="190" t="s">
        <v>132</v>
      </c>
      <c r="CW36" s="190" t="s">
        <v>132</v>
      </c>
      <c r="CX36" s="190" t="s">
        <v>132</v>
      </c>
      <c r="CY36" s="190" t="s">
        <v>132</v>
      </c>
      <c r="CZ36" s="190" t="s">
        <v>132</v>
      </c>
      <c r="DA36" s="190" t="s">
        <v>132</v>
      </c>
      <c r="DB36" s="190" t="s">
        <v>132</v>
      </c>
      <c r="DC36" s="190" t="s">
        <v>132</v>
      </c>
      <c r="DD36" s="190" t="s">
        <v>132</v>
      </c>
      <c r="DE36" s="190" t="s">
        <v>132</v>
      </c>
      <c r="DF36" s="190" t="s">
        <v>132</v>
      </c>
      <c r="DG36" s="190" t="s">
        <v>132</v>
      </c>
      <c r="DH36" s="190" t="s">
        <v>132</v>
      </c>
    </row>
    <row r="37" spans="1:112">
      <c r="A37" s="150" t="s">
        <v>140</v>
      </c>
      <c r="B37" s="150">
        <v>5</v>
      </c>
      <c r="C37" s="150">
        <v>5</v>
      </c>
      <c r="D37" s="150" t="s">
        <v>233</v>
      </c>
      <c r="E37" s="150" t="s">
        <v>229</v>
      </c>
      <c r="F37" s="150">
        <v>64</v>
      </c>
      <c r="G37" s="150" t="s">
        <v>234</v>
      </c>
      <c r="H37" s="150" t="s">
        <v>136</v>
      </c>
      <c r="I37" s="150" t="s">
        <v>240</v>
      </c>
      <c r="J37" s="150" t="s">
        <v>240</v>
      </c>
      <c r="K37" s="150" t="s">
        <v>132</v>
      </c>
      <c r="L37" s="150" t="s">
        <v>283</v>
      </c>
      <c r="M37" s="150">
        <v>28.3</v>
      </c>
      <c r="N37" s="150">
        <v>68</v>
      </c>
      <c r="O37" s="150">
        <f t="shared" si="2"/>
        <v>2.83</v>
      </c>
      <c r="P37" s="150">
        <f t="shared" si="3"/>
        <v>6.8</v>
      </c>
      <c r="Q37" s="150" t="s">
        <v>132</v>
      </c>
      <c r="R37" s="150" t="s">
        <v>132</v>
      </c>
      <c r="S37" s="150" t="s">
        <v>132</v>
      </c>
      <c r="T37" s="150" t="s">
        <v>132</v>
      </c>
      <c r="U37" s="150" t="s">
        <v>132</v>
      </c>
      <c r="V37" s="150" t="s">
        <v>132</v>
      </c>
      <c r="W37" s="150" t="s">
        <v>132</v>
      </c>
      <c r="X37" s="150" t="s">
        <v>132</v>
      </c>
      <c r="Y37" s="150" t="s">
        <v>132</v>
      </c>
      <c r="Z37" s="150" t="s">
        <v>132</v>
      </c>
      <c r="AA37" s="150" t="s">
        <v>132</v>
      </c>
      <c r="AB37" s="150" t="s">
        <v>132</v>
      </c>
      <c r="AC37" s="150" t="s">
        <v>132</v>
      </c>
      <c r="AD37" s="150" t="s">
        <v>132</v>
      </c>
      <c r="AE37" s="150" t="s">
        <v>132</v>
      </c>
      <c r="AF37" s="150" t="s">
        <v>132</v>
      </c>
      <c r="AG37" s="150" t="s">
        <v>132</v>
      </c>
      <c r="AH37" s="150" t="s">
        <v>132</v>
      </c>
      <c r="AI37" s="150" t="s">
        <v>132</v>
      </c>
      <c r="AJ37" s="150" t="s">
        <v>132</v>
      </c>
      <c r="AK37" s="150" t="s">
        <v>132</v>
      </c>
      <c r="AL37" s="150" t="s">
        <v>132</v>
      </c>
      <c r="AM37" s="150" t="s">
        <v>132</v>
      </c>
      <c r="AN37" s="150" t="s">
        <v>132</v>
      </c>
      <c r="AO37" s="150" t="s">
        <v>132</v>
      </c>
      <c r="AP37" s="150" t="s">
        <v>132</v>
      </c>
      <c r="AQ37" s="150" t="s">
        <v>132</v>
      </c>
      <c r="AR37" s="150" t="s">
        <v>132</v>
      </c>
      <c r="AS37" s="150" t="s">
        <v>132</v>
      </c>
      <c r="AT37" s="150" t="s">
        <v>132</v>
      </c>
      <c r="AU37" s="150" t="s">
        <v>132</v>
      </c>
      <c r="AV37" s="150" t="s">
        <v>132</v>
      </c>
      <c r="AW37" s="150" t="s">
        <v>132</v>
      </c>
      <c r="AX37" s="150" t="s">
        <v>132</v>
      </c>
      <c r="AY37" s="150" t="s">
        <v>132</v>
      </c>
      <c r="AZ37" s="150" t="s">
        <v>132</v>
      </c>
      <c r="BA37" s="150" t="s">
        <v>132</v>
      </c>
      <c r="BB37" s="150" t="s">
        <v>132</v>
      </c>
      <c r="BC37" s="150" t="s">
        <v>132</v>
      </c>
      <c r="BD37" s="150" t="s">
        <v>132</v>
      </c>
      <c r="BE37" s="150" t="s">
        <v>132</v>
      </c>
      <c r="BF37" s="150" t="s">
        <v>132</v>
      </c>
      <c r="BG37" s="150" t="s">
        <v>132</v>
      </c>
      <c r="BH37" s="150" t="s">
        <v>132</v>
      </c>
      <c r="BI37" s="150" t="s">
        <v>132</v>
      </c>
      <c r="BJ37" s="150" t="s">
        <v>132</v>
      </c>
      <c r="BK37" s="150" t="s">
        <v>132</v>
      </c>
      <c r="BL37" s="150" t="s">
        <v>132</v>
      </c>
      <c r="BM37" s="150" t="s">
        <v>132</v>
      </c>
      <c r="BN37" s="150" t="s">
        <v>132</v>
      </c>
      <c r="BO37" s="150" t="s">
        <v>132</v>
      </c>
      <c r="BP37" s="150" t="s">
        <v>132</v>
      </c>
      <c r="BQ37" s="150" t="s">
        <v>132</v>
      </c>
      <c r="BR37" s="150" t="s">
        <v>132</v>
      </c>
      <c r="BS37" s="150" t="s">
        <v>132</v>
      </c>
      <c r="BT37" s="150" t="s">
        <v>132</v>
      </c>
      <c r="BU37" s="150" t="s">
        <v>132</v>
      </c>
      <c r="BV37" s="150" t="s">
        <v>132</v>
      </c>
      <c r="BW37" s="150" t="s">
        <v>132</v>
      </c>
      <c r="BX37" s="150" t="s">
        <v>132</v>
      </c>
      <c r="BY37" s="150" t="s">
        <v>132</v>
      </c>
      <c r="BZ37" s="150" t="s">
        <v>132</v>
      </c>
      <c r="CA37" s="150" t="s">
        <v>132</v>
      </c>
      <c r="CB37" s="150" t="s">
        <v>132</v>
      </c>
      <c r="CC37" s="190" t="s">
        <v>132</v>
      </c>
      <c r="CD37" s="190" t="s">
        <v>132</v>
      </c>
      <c r="CE37" s="190" t="s">
        <v>132</v>
      </c>
      <c r="CF37" s="190" t="s">
        <v>132</v>
      </c>
      <c r="CG37" s="190" t="s">
        <v>132</v>
      </c>
      <c r="CH37" s="190" t="s">
        <v>132</v>
      </c>
      <c r="CI37" s="190" t="s">
        <v>132</v>
      </c>
      <c r="CJ37" s="190" t="s">
        <v>132</v>
      </c>
      <c r="CK37" s="190" t="s">
        <v>132</v>
      </c>
      <c r="CL37" s="190" t="s">
        <v>132</v>
      </c>
      <c r="CM37" s="190" t="s">
        <v>132</v>
      </c>
      <c r="CN37" s="190" t="s">
        <v>132</v>
      </c>
      <c r="CO37" s="190" t="s">
        <v>132</v>
      </c>
      <c r="CP37" s="190" t="s">
        <v>132</v>
      </c>
      <c r="CQ37" s="190" t="s">
        <v>132</v>
      </c>
      <c r="CR37" s="190" t="s">
        <v>132</v>
      </c>
      <c r="CS37" s="190" t="s">
        <v>132</v>
      </c>
      <c r="CT37" s="190" t="s">
        <v>132</v>
      </c>
      <c r="CU37" s="190" t="s">
        <v>132</v>
      </c>
      <c r="CV37" s="190" t="s">
        <v>132</v>
      </c>
      <c r="CW37" s="190" t="s">
        <v>132</v>
      </c>
      <c r="CX37" s="190" t="s">
        <v>132</v>
      </c>
      <c r="CY37" s="190" t="s">
        <v>132</v>
      </c>
      <c r="CZ37" s="190" t="s">
        <v>132</v>
      </c>
      <c r="DA37" s="190" t="s">
        <v>132</v>
      </c>
      <c r="DB37" s="190" t="s">
        <v>132</v>
      </c>
      <c r="DC37" s="190" t="s">
        <v>132</v>
      </c>
      <c r="DD37" s="190" t="s">
        <v>132</v>
      </c>
      <c r="DE37" s="190" t="s">
        <v>132</v>
      </c>
      <c r="DF37" s="190" t="s">
        <v>132</v>
      </c>
      <c r="DG37" s="190" t="s">
        <v>132</v>
      </c>
      <c r="DH37" s="190" t="s">
        <v>132</v>
      </c>
    </row>
    <row r="38" spans="1:112">
      <c r="A38" s="150" t="s">
        <v>141</v>
      </c>
      <c r="B38" s="150">
        <v>5</v>
      </c>
      <c r="C38" s="150">
        <v>5</v>
      </c>
      <c r="D38" s="150" t="s">
        <v>233</v>
      </c>
      <c r="E38" s="150" t="s">
        <v>229</v>
      </c>
      <c r="F38" s="150">
        <v>21</v>
      </c>
      <c r="G38" s="150" t="s">
        <v>234</v>
      </c>
      <c r="H38" s="150" t="s">
        <v>136</v>
      </c>
      <c r="I38" s="150" t="s">
        <v>132</v>
      </c>
      <c r="J38" s="150" t="s">
        <v>132</v>
      </c>
      <c r="K38" s="150" t="s">
        <v>132</v>
      </c>
      <c r="L38" s="150" t="s">
        <v>283</v>
      </c>
      <c r="M38" s="150">
        <v>12.3</v>
      </c>
      <c r="N38" s="150">
        <v>42.8</v>
      </c>
      <c r="O38" s="150">
        <f t="shared" si="2"/>
        <v>1.23</v>
      </c>
      <c r="P38" s="150">
        <f t="shared" si="3"/>
        <v>4.2799999999999994</v>
      </c>
      <c r="Q38" s="158">
        <v>0.5081</v>
      </c>
      <c r="R38" s="158">
        <v>0.50009999999999999</v>
      </c>
      <c r="S38" s="158">
        <f>2.236*(0.6002-Q38)</f>
        <v>0.20593559999999994</v>
      </c>
      <c r="T38" s="158">
        <f>2.236*(0.5607-R38)</f>
        <v>0.13550159999999997</v>
      </c>
      <c r="U38" s="155">
        <v>0.15329999999999999</v>
      </c>
      <c r="V38" s="155">
        <v>0.1762</v>
      </c>
      <c r="W38" s="155">
        <f>2.236*(0.1865-U38)</f>
        <v>7.4235200000000029E-2</v>
      </c>
      <c r="X38" s="155">
        <f>2.236*(0.2061-V38)</f>
        <v>6.6856400000000024E-2</v>
      </c>
      <c r="Y38" s="150" t="s">
        <v>132</v>
      </c>
      <c r="Z38" s="150" t="s">
        <v>132</v>
      </c>
      <c r="AA38" s="150" t="s">
        <v>132</v>
      </c>
      <c r="AB38" s="150" t="s">
        <v>132</v>
      </c>
      <c r="AC38" s="150" t="s">
        <v>132</v>
      </c>
      <c r="AD38" s="150" t="s">
        <v>132</v>
      </c>
      <c r="AE38" s="150" t="s">
        <v>132</v>
      </c>
      <c r="AF38" s="150" t="s">
        <v>132</v>
      </c>
      <c r="AG38" s="150" t="s">
        <v>132</v>
      </c>
      <c r="AH38" s="150" t="s">
        <v>132</v>
      </c>
      <c r="AI38" s="150" t="s">
        <v>132</v>
      </c>
      <c r="AJ38" s="150" t="s">
        <v>132</v>
      </c>
      <c r="AK38" s="150" t="s">
        <v>132</v>
      </c>
      <c r="AL38" s="150" t="s">
        <v>132</v>
      </c>
      <c r="AM38" s="150" t="s">
        <v>132</v>
      </c>
      <c r="AN38" s="150" t="s">
        <v>132</v>
      </c>
      <c r="AO38" s="150" t="s">
        <v>132</v>
      </c>
      <c r="AP38" s="150" t="s">
        <v>132</v>
      </c>
      <c r="AQ38" s="150" t="s">
        <v>132</v>
      </c>
      <c r="AR38" s="150" t="s">
        <v>132</v>
      </c>
      <c r="AS38" s="150" t="s">
        <v>132</v>
      </c>
      <c r="AT38" s="150" t="s">
        <v>132</v>
      </c>
      <c r="AU38" s="150" t="s">
        <v>132</v>
      </c>
      <c r="AV38" s="150" t="s">
        <v>132</v>
      </c>
      <c r="AW38" s="150" t="s">
        <v>132</v>
      </c>
      <c r="AX38" s="150" t="s">
        <v>132</v>
      </c>
      <c r="AY38" s="150" t="s">
        <v>132</v>
      </c>
      <c r="AZ38" s="150" t="s">
        <v>132</v>
      </c>
      <c r="BA38" s="150" t="s">
        <v>132</v>
      </c>
      <c r="BB38" s="150" t="s">
        <v>132</v>
      </c>
      <c r="BC38" s="150" t="s">
        <v>132</v>
      </c>
      <c r="BD38" s="150" t="s">
        <v>132</v>
      </c>
      <c r="BE38" s="150" t="s">
        <v>132</v>
      </c>
      <c r="BF38" s="150" t="s">
        <v>132</v>
      </c>
      <c r="BG38" s="150" t="s">
        <v>132</v>
      </c>
      <c r="BH38" s="150" t="s">
        <v>132</v>
      </c>
      <c r="BI38" s="150" t="s">
        <v>132</v>
      </c>
      <c r="BJ38" s="150" t="s">
        <v>132</v>
      </c>
      <c r="BK38" s="150" t="s">
        <v>132</v>
      </c>
      <c r="BL38" s="150" t="s">
        <v>132</v>
      </c>
      <c r="BM38" s="150" t="s">
        <v>132</v>
      </c>
      <c r="BN38" s="150" t="s">
        <v>132</v>
      </c>
      <c r="BO38" s="150" t="s">
        <v>132</v>
      </c>
      <c r="BP38" s="150" t="s">
        <v>132</v>
      </c>
      <c r="BQ38" s="150" t="s">
        <v>132</v>
      </c>
      <c r="BR38" s="150" t="s">
        <v>132</v>
      </c>
      <c r="BS38" s="150" t="s">
        <v>132</v>
      </c>
      <c r="BT38" s="150" t="s">
        <v>132</v>
      </c>
      <c r="BU38" s="150" t="s">
        <v>132</v>
      </c>
      <c r="BV38" s="150" t="s">
        <v>132</v>
      </c>
      <c r="BW38" s="150" t="s">
        <v>132</v>
      </c>
      <c r="BX38" s="150" t="s">
        <v>132</v>
      </c>
      <c r="BY38" s="150" t="s">
        <v>132</v>
      </c>
      <c r="BZ38" s="150" t="s">
        <v>132</v>
      </c>
      <c r="CA38" s="150" t="s">
        <v>132</v>
      </c>
      <c r="CB38" s="150" t="s">
        <v>132</v>
      </c>
      <c r="CC38" s="190" t="s">
        <v>132</v>
      </c>
      <c r="CD38" s="190" t="s">
        <v>132</v>
      </c>
      <c r="CE38" s="190" t="s">
        <v>132</v>
      </c>
      <c r="CF38" s="190" t="s">
        <v>132</v>
      </c>
      <c r="CG38" s="190" t="s">
        <v>132</v>
      </c>
      <c r="CH38" s="190" t="s">
        <v>132</v>
      </c>
      <c r="CI38" s="190" t="s">
        <v>132</v>
      </c>
      <c r="CJ38" s="190" t="s">
        <v>132</v>
      </c>
      <c r="CK38" s="190" t="s">
        <v>132</v>
      </c>
      <c r="CL38" s="190" t="s">
        <v>132</v>
      </c>
      <c r="CM38" s="190" t="s">
        <v>132</v>
      </c>
      <c r="CN38" s="190" t="s">
        <v>132</v>
      </c>
      <c r="CO38" s="190" t="s">
        <v>132</v>
      </c>
      <c r="CP38" s="190" t="s">
        <v>132</v>
      </c>
      <c r="CQ38" s="190" t="s">
        <v>132</v>
      </c>
      <c r="CR38" s="190" t="s">
        <v>132</v>
      </c>
      <c r="CS38" s="190" t="s">
        <v>132</v>
      </c>
      <c r="CT38" s="190" t="s">
        <v>132</v>
      </c>
      <c r="CU38" s="190" t="s">
        <v>132</v>
      </c>
      <c r="CV38" s="190" t="s">
        <v>132</v>
      </c>
      <c r="CW38" s="190" t="s">
        <v>132</v>
      </c>
      <c r="CX38" s="190" t="s">
        <v>132</v>
      </c>
      <c r="CY38" s="190" t="s">
        <v>132</v>
      </c>
      <c r="CZ38" s="190" t="s">
        <v>132</v>
      </c>
      <c r="DA38" s="190" t="s">
        <v>132</v>
      </c>
      <c r="DB38" s="190" t="s">
        <v>132</v>
      </c>
      <c r="DC38" s="190" t="s">
        <v>132</v>
      </c>
      <c r="DD38" s="190" t="s">
        <v>132</v>
      </c>
      <c r="DE38" s="190" t="s">
        <v>132</v>
      </c>
      <c r="DF38" s="190" t="s">
        <v>132</v>
      </c>
      <c r="DG38" s="190" t="s">
        <v>132</v>
      </c>
      <c r="DH38" s="190" t="s">
        <v>132</v>
      </c>
    </row>
    <row r="39" spans="1:112">
      <c r="A39" s="150" t="s">
        <v>141</v>
      </c>
      <c r="B39" s="150">
        <v>5</v>
      </c>
      <c r="C39" s="150">
        <v>5</v>
      </c>
      <c r="D39" s="150" t="s">
        <v>233</v>
      </c>
      <c r="E39" s="150" t="s">
        <v>229</v>
      </c>
      <c r="F39" s="150">
        <v>42</v>
      </c>
      <c r="G39" s="150" t="s">
        <v>234</v>
      </c>
      <c r="H39" s="150" t="s">
        <v>136</v>
      </c>
      <c r="I39" s="150" t="s">
        <v>132</v>
      </c>
      <c r="J39" s="150" t="s">
        <v>132</v>
      </c>
      <c r="K39" s="150" t="s">
        <v>132</v>
      </c>
      <c r="L39" s="150" t="s">
        <v>283</v>
      </c>
      <c r="M39" s="150">
        <v>8.1</v>
      </c>
      <c r="N39" s="150">
        <v>26.7</v>
      </c>
      <c r="O39" s="150">
        <f t="shared" si="2"/>
        <v>0.80999999999999994</v>
      </c>
      <c r="P39" s="150">
        <f t="shared" si="3"/>
        <v>2.67</v>
      </c>
      <c r="Q39" s="158">
        <v>1.4716</v>
      </c>
      <c r="R39" s="158">
        <v>2.1124999999999998</v>
      </c>
      <c r="S39" s="158">
        <f>2.236*(1.7239-Q39)</f>
        <v>0.56414279999999994</v>
      </c>
      <c r="T39" s="158">
        <f>2.236*(2.1756-R39)</f>
        <v>0.14109160000000087</v>
      </c>
      <c r="U39" s="155">
        <v>0.42599999999999999</v>
      </c>
      <c r="V39" s="155">
        <v>0.67090000000000005</v>
      </c>
      <c r="W39" s="155">
        <f>2.236*(0.5247-U39)</f>
        <v>0.22069320000000017</v>
      </c>
      <c r="X39" s="155">
        <f>2.236*(0.7257-V39)</f>
        <v>0.12253279999999993</v>
      </c>
      <c r="Y39" s="150" t="s">
        <v>132</v>
      </c>
      <c r="Z39" s="150" t="s">
        <v>132</v>
      </c>
      <c r="AA39" s="150" t="s">
        <v>132</v>
      </c>
      <c r="AB39" s="150" t="s">
        <v>132</v>
      </c>
      <c r="AC39" s="150" t="s">
        <v>132</v>
      </c>
      <c r="AD39" s="150" t="s">
        <v>132</v>
      </c>
      <c r="AE39" s="150" t="s">
        <v>132</v>
      </c>
      <c r="AF39" s="150" t="s">
        <v>132</v>
      </c>
      <c r="AG39" s="150" t="s">
        <v>132</v>
      </c>
      <c r="AH39" s="150" t="s">
        <v>132</v>
      </c>
      <c r="AI39" s="150" t="s">
        <v>132</v>
      </c>
      <c r="AJ39" s="150" t="s">
        <v>132</v>
      </c>
      <c r="AK39" s="150" t="s">
        <v>132</v>
      </c>
      <c r="AL39" s="150" t="s">
        <v>132</v>
      </c>
      <c r="AM39" s="150" t="s">
        <v>132</v>
      </c>
      <c r="AN39" s="150" t="s">
        <v>132</v>
      </c>
      <c r="AO39" s="150" t="s">
        <v>132</v>
      </c>
      <c r="AP39" s="150" t="s">
        <v>132</v>
      </c>
      <c r="AQ39" s="150" t="s">
        <v>132</v>
      </c>
      <c r="AR39" s="150" t="s">
        <v>132</v>
      </c>
      <c r="AS39" s="150" t="s">
        <v>132</v>
      </c>
      <c r="AT39" s="150" t="s">
        <v>132</v>
      </c>
      <c r="AU39" s="150" t="s">
        <v>132</v>
      </c>
      <c r="AV39" s="150" t="s">
        <v>132</v>
      </c>
      <c r="AW39" s="150" t="s">
        <v>132</v>
      </c>
      <c r="AX39" s="150" t="s">
        <v>132</v>
      </c>
      <c r="AY39" s="150" t="s">
        <v>132</v>
      </c>
      <c r="AZ39" s="150" t="s">
        <v>132</v>
      </c>
      <c r="BA39" s="150" t="s">
        <v>132</v>
      </c>
      <c r="BB39" s="150" t="s">
        <v>132</v>
      </c>
      <c r="BC39" s="150" t="s">
        <v>132</v>
      </c>
      <c r="BD39" s="150" t="s">
        <v>132</v>
      </c>
      <c r="BE39" s="150" t="s">
        <v>132</v>
      </c>
      <c r="BF39" s="150" t="s">
        <v>132</v>
      </c>
      <c r="BG39" s="150" t="s">
        <v>132</v>
      </c>
      <c r="BH39" s="150" t="s">
        <v>132</v>
      </c>
      <c r="BI39" s="150" t="s">
        <v>132</v>
      </c>
      <c r="BJ39" s="150" t="s">
        <v>132</v>
      </c>
      <c r="BK39" s="150" t="s">
        <v>132</v>
      </c>
      <c r="BL39" s="150" t="s">
        <v>132</v>
      </c>
      <c r="BM39" s="150" t="s">
        <v>132</v>
      </c>
      <c r="BN39" s="150" t="s">
        <v>132</v>
      </c>
      <c r="BO39" s="150" t="s">
        <v>132</v>
      </c>
      <c r="BP39" s="150" t="s">
        <v>132</v>
      </c>
      <c r="BQ39" s="150" t="s">
        <v>132</v>
      </c>
      <c r="BR39" s="150" t="s">
        <v>132</v>
      </c>
      <c r="BS39" s="150" t="s">
        <v>132</v>
      </c>
      <c r="BT39" s="150" t="s">
        <v>132</v>
      </c>
      <c r="BU39" s="150" t="s">
        <v>132</v>
      </c>
      <c r="BV39" s="150" t="s">
        <v>132</v>
      </c>
      <c r="BW39" s="150" t="s">
        <v>132</v>
      </c>
      <c r="BX39" s="150" t="s">
        <v>132</v>
      </c>
      <c r="BY39" s="150" t="s">
        <v>132</v>
      </c>
      <c r="BZ39" s="150" t="s">
        <v>132</v>
      </c>
      <c r="CA39" s="150" t="s">
        <v>132</v>
      </c>
      <c r="CB39" s="150" t="s">
        <v>132</v>
      </c>
      <c r="CC39" s="190" t="s">
        <v>132</v>
      </c>
      <c r="CD39" s="190" t="s">
        <v>132</v>
      </c>
      <c r="CE39" s="190" t="s">
        <v>132</v>
      </c>
      <c r="CF39" s="190" t="s">
        <v>132</v>
      </c>
      <c r="CG39" s="190" t="s">
        <v>132</v>
      </c>
      <c r="CH39" s="190" t="s">
        <v>132</v>
      </c>
      <c r="CI39" s="190" t="s">
        <v>132</v>
      </c>
      <c r="CJ39" s="190" t="s">
        <v>132</v>
      </c>
      <c r="CK39" s="190" t="s">
        <v>132</v>
      </c>
      <c r="CL39" s="190" t="s">
        <v>132</v>
      </c>
      <c r="CM39" s="190" t="s">
        <v>132</v>
      </c>
      <c r="CN39" s="190" t="s">
        <v>132</v>
      </c>
      <c r="CO39" s="190" t="s">
        <v>132</v>
      </c>
      <c r="CP39" s="190" t="s">
        <v>132</v>
      </c>
      <c r="CQ39" s="190" t="s">
        <v>132</v>
      </c>
      <c r="CR39" s="190" t="s">
        <v>132</v>
      </c>
      <c r="CS39" s="190" t="s">
        <v>132</v>
      </c>
      <c r="CT39" s="190" t="s">
        <v>132</v>
      </c>
      <c r="CU39" s="190" t="s">
        <v>132</v>
      </c>
      <c r="CV39" s="190" t="s">
        <v>132</v>
      </c>
      <c r="CW39" s="190" t="s">
        <v>132</v>
      </c>
      <c r="CX39" s="190" t="s">
        <v>132</v>
      </c>
      <c r="CY39" s="190" t="s">
        <v>132</v>
      </c>
      <c r="CZ39" s="190" t="s">
        <v>132</v>
      </c>
      <c r="DA39" s="190" t="s">
        <v>132</v>
      </c>
      <c r="DB39" s="190" t="s">
        <v>132</v>
      </c>
      <c r="DC39" s="190" t="s">
        <v>132</v>
      </c>
      <c r="DD39" s="190" t="s">
        <v>132</v>
      </c>
      <c r="DE39" s="190" t="s">
        <v>132</v>
      </c>
      <c r="DF39" s="190" t="s">
        <v>132</v>
      </c>
      <c r="DG39" s="190" t="s">
        <v>132</v>
      </c>
      <c r="DH39" s="190" t="s">
        <v>132</v>
      </c>
    </row>
    <row r="40" spans="1:112">
      <c r="A40" s="150" t="s">
        <v>142</v>
      </c>
      <c r="B40" s="150">
        <v>5</v>
      </c>
      <c r="C40" s="150">
        <v>5</v>
      </c>
      <c r="D40" s="150" t="s">
        <v>233</v>
      </c>
      <c r="E40" s="150" t="s">
        <v>228</v>
      </c>
      <c r="F40" s="150">
        <v>28</v>
      </c>
      <c r="G40" s="150" t="s">
        <v>234</v>
      </c>
      <c r="H40" s="150" t="s">
        <v>136</v>
      </c>
      <c r="I40" s="150" t="s">
        <v>132</v>
      </c>
      <c r="J40" s="150" t="s">
        <v>132</v>
      </c>
      <c r="K40" s="150" t="s">
        <v>132</v>
      </c>
      <c r="L40" s="150" t="s">
        <v>284</v>
      </c>
      <c r="M40" s="156">
        <v>0</v>
      </c>
      <c r="N40" s="156">
        <v>4.5999999999999996</v>
      </c>
      <c r="O40" s="156">
        <v>0.29068000000000005</v>
      </c>
      <c r="P40" s="156">
        <v>3.3987200000000013</v>
      </c>
      <c r="Q40" s="150" t="s">
        <v>132</v>
      </c>
      <c r="R40" s="150" t="s">
        <v>132</v>
      </c>
      <c r="S40" s="150" t="s">
        <v>132</v>
      </c>
      <c r="T40" s="150" t="s">
        <v>132</v>
      </c>
      <c r="U40" s="150" t="s">
        <v>132</v>
      </c>
      <c r="V40" s="150" t="s">
        <v>132</v>
      </c>
      <c r="W40" s="150" t="s">
        <v>132</v>
      </c>
      <c r="X40" s="150" t="s">
        <v>132</v>
      </c>
      <c r="Y40" s="150" t="s">
        <v>132</v>
      </c>
      <c r="Z40" s="150" t="s">
        <v>132</v>
      </c>
      <c r="AA40" s="150" t="s">
        <v>132</v>
      </c>
      <c r="AB40" s="150" t="s">
        <v>132</v>
      </c>
      <c r="AC40" s="150" t="s">
        <v>132</v>
      </c>
      <c r="AD40" s="150" t="s">
        <v>132</v>
      </c>
      <c r="AE40" s="150" t="s">
        <v>132</v>
      </c>
      <c r="AF40" s="150" t="s">
        <v>132</v>
      </c>
      <c r="AG40" s="150" t="s">
        <v>132</v>
      </c>
      <c r="AH40" s="150" t="s">
        <v>132</v>
      </c>
      <c r="AI40" s="150" t="s">
        <v>132</v>
      </c>
      <c r="AJ40" s="150" t="s">
        <v>132</v>
      </c>
      <c r="AK40" s="150" t="s">
        <v>132</v>
      </c>
      <c r="AL40" s="150" t="s">
        <v>132</v>
      </c>
      <c r="AM40" s="150" t="s">
        <v>132</v>
      </c>
      <c r="AN40" s="150" t="s">
        <v>132</v>
      </c>
      <c r="AO40" s="150" t="s">
        <v>132</v>
      </c>
      <c r="AP40" s="150" t="s">
        <v>132</v>
      </c>
      <c r="AQ40" s="150" t="s">
        <v>132</v>
      </c>
      <c r="AR40" s="150" t="s">
        <v>132</v>
      </c>
      <c r="AS40" s="150" t="s">
        <v>132</v>
      </c>
      <c r="AT40" s="150" t="s">
        <v>132</v>
      </c>
      <c r="AU40" s="150" t="s">
        <v>132</v>
      </c>
      <c r="AV40" s="150" t="s">
        <v>132</v>
      </c>
      <c r="AW40" s="150" t="s">
        <v>132</v>
      </c>
      <c r="AX40" s="150" t="s">
        <v>132</v>
      </c>
      <c r="AY40" s="150" t="s">
        <v>132</v>
      </c>
      <c r="AZ40" s="150" t="s">
        <v>132</v>
      </c>
      <c r="BA40" s="150" t="s">
        <v>132</v>
      </c>
      <c r="BB40" s="150" t="s">
        <v>132</v>
      </c>
      <c r="BC40" s="150" t="s">
        <v>132</v>
      </c>
      <c r="BD40" s="150" t="s">
        <v>132</v>
      </c>
      <c r="BE40" s="150" t="s">
        <v>132</v>
      </c>
      <c r="BF40" s="150" t="s">
        <v>132</v>
      </c>
      <c r="BG40" s="150" t="s">
        <v>132</v>
      </c>
      <c r="BH40" s="150" t="s">
        <v>132</v>
      </c>
      <c r="BI40" s="150" t="s">
        <v>132</v>
      </c>
      <c r="BJ40" s="150" t="s">
        <v>132</v>
      </c>
      <c r="BK40" s="150" t="s">
        <v>132</v>
      </c>
      <c r="BL40" s="150" t="s">
        <v>132</v>
      </c>
      <c r="BM40" s="150" t="s">
        <v>132</v>
      </c>
      <c r="BN40" s="150" t="s">
        <v>132</v>
      </c>
      <c r="BO40" s="150" t="s">
        <v>132</v>
      </c>
      <c r="BP40" s="150" t="s">
        <v>132</v>
      </c>
      <c r="BQ40" s="150" t="s">
        <v>132</v>
      </c>
      <c r="BR40" s="150" t="s">
        <v>132</v>
      </c>
      <c r="BS40" s="150" t="s">
        <v>132</v>
      </c>
      <c r="BT40" s="150" t="s">
        <v>132</v>
      </c>
      <c r="BU40" s="150" t="s">
        <v>132</v>
      </c>
      <c r="BV40" s="150" t="s">
        <v>132</v>
      </c>
      <c r="BW40" s="150" t="s">
        <v>132</v>
      </c>
      <c r="BX40" s="150" t="s">
        <v>132</v>
      </c>
      <c r="BY40" s="150" t="s">
        <v>132</v>
      </c>
      <c r="BZ40" s="150" t="s">
        <v>132</v>
      </c>
      <c r="CA40" s="150" t="s">
        <v>132</v>
      </c>
      <c r="CB40" s="150" t="s">
        <v>132</v>
      </c>
      <c r="CC40" s="190" t="s">
        <v>132</v>
      </c>
      <c r="CD40" s="190" t="s">
        <v>132</v>
      </c>
      <c r="CE40" s="190" t="s">
        <v>132</v>
      </c>
      <c r="CF40" s="190" t="s">
        <v>132</v>
      </c>
      <c r="CG40" s="190" t="s">
        <v>132</v>
      </c>
      <c r="CH40" s="190" t="s">
        <v>132</v>
      </c>
      <c r="CI40" s="190" t="s">
        <v>132</v>
      </c>
      <c r="CJ40" s="190" t="s">
        <v>132</v>
      </c>
      <c r="CK40" s="190" t="s">
        <v>132</v>
      </c>
      <c r="CL40" s="190" t="s">
        <v>132</v>
      </c>
      <c r="CM40" s="190" t="s">
        <v>132</v>
      </c>
      <c r="CN40" s="190" t="s">
        <v>132</v>
      </c>
      <c r="CO40" s="190" t="s">
        <v>132</v>
      </c>
      <c r="CP40" s="190" t="s">
        <v>132</v>
      </c>
      <c r="CQ40" s="190" t="s">
        <v>132</v>
      </c>
      <c r="CR40" s="190" t="s">
        <v>132</v>
      </c>
      <c r="CS40" s="190" t="s">
        <v>132</v>
      </c>
      <c r="CT40" s="190" t="s">
        <v>132</v>
      </c>
      <c r="CU40" s="190" t="s">
        <v>132</v>
      </c>
      <c r="CV40" s="190" t="s">
        <v>132</v>
      </c>
      <c r="CW40" s="190" t="s">
        <v>132</v>
      </c>
      <c r="CX40" s="190" t="s">
        <v>132</v>
      </c>
      <c r="CY40" s="190" t="s">
        <v>132</v>
      </c>
      <c r="CZ40" s="190" t="s">
        <v>132</v>
      </c>
      <c r="DA40" s="190" t="s">
        <v>132</v>
      </c>
      <c r="DB40" s="190" t="s">
        <v>132</v>
      </c>
      <c r="DC40" s="190" t="s">
        <v>132</v>
      </c>
      <c r="DD40" s="190" t="s">
        <v>132</v>
      </c>
      <c r="DE40" s="190" t="s">
        <v>132</v>
      </c>
      <c r="DF40" s="190" t="s">
        <v>132</v>
      </c>
      <c r="DG40" s="190" t="s">
        <v>132</v>
      </c>
      <c r="DH40" s="190" t="s">
        <v>132</v>
      </c>
    </row>
    <row r="41" spans="1:112">
      <c r="A41" s="150" t="s">
        <v>142</v>
      </c>
      <c r="B41" s="150">
        <v>5</v>
      </c>
      <c r="C41" s="150">
        <v>5</v>
      </c>
      <c r="D41" s="150" t="s">
        <v>233</v>
      </c>
      <c r="E41" s="150" t="s">
        <v>228</v>
      </c>
      <c r="F41" s="150">
        <v>70</v>
      </c>
      <c r="G41" s="150" t="s">
        <v>235</v>
      </c>
      <c r="H41" s="150" t="s">
        <v>136</v>
      </c>
      <c r="I41" s="150" t="s">
        <v>132</v>
      </c>
      <c r="J41" s="150" t="s">
        <v>132</v>
      </c>
      <c r="K41" s="150" t="s">
        <v>132</v>
      </c>
      <c r="L41" s="150" t="s">
        <v>284</v>
      </c>
      <c r="M41" s="156">
        <v>0</v>
      </c>
      <c r="N41" s="156">
        <v>23.37</v>
      </c>
      <c r="O41" s="156">
        <v>0.46956000000000003</v>
      </c>
      <c r="P41" s="156">
        <v>9.6148000000000025</v>
      </c>
      <c r="Q41" s="150" t="s">
        <v>132</v>
      </c>
      <c r="R41" s="150" t="s">
        <v>132</v>
      </c>
      <c r="S41" s="150" t="s">
        <v>132</v>
      </c>
      <c r="T41" s="150" t="s">
        <v>132</v>
      </c>
      <c r="U41" s="150" t="s">
        <v>132</v>
      </c>
      <c r="V41" s="150" t="s">
        <v>132</v>
      </c>
      <c r="W41" s="150" t="s">
        <v>132</v>
      </c>
      <c r="X41" s="150" t="s">
        <v>132</v>
      </c>
      <c r="Y41" s="150" t="s">
        <v>132</v>
      </c>
      <c r="Z41" s="150" t="s">
        <v>132</v>
      </c>
      <c r="AA41" s="150" t="s">
        <v>132</v>
      </c>
      <c r="AB41" s="150" t="s">
        <v>132</v>
      </c>
      <c r="AC41" s="150" t="s">
        <v>132</v>
      </c>
      <c r="AD41" s="150" t="s">
        <v>132</v>
      </c>
      <c r="AE41" s="150" t="s">
        <v>132</v>
      </c>
      <c r="AF41" s="150" t="s">
        <v>132</v>
      </c>
      <c r="AG41" s="150" t="s">
        <v>132</v>
      </c>
      <c r="AH41" s="150" t="s">
        <v>132</v>
      </c>
      <c r="AI41" s="150" t="s">
        <v>132</v>
      </c>
      <c r="AJ41" s="150" t="s">
        <v>132</v>
      </c>
      <c r="AK41" s="150" t="s">
        <v>132</v>
      </c>
      <c r="AL41" s="150" t="s">
        <v>132</v>
      </c>
      <c r="AM41" s="150" t="s">
        <v>132</v>
      </c>
      <c r="AN41" s="150" t="s">
        <v>132</v>
      </c>
      <c r="AO41" s="150" t="s">
        <v>132</v>
      </c>
      <c r="AP41" s="150" t="s">
        <v>132</v>
      </c>
      <c r="AQ41" s="150" t="s">
        <v>132</v>
      </c>
      <c r="AR41" s="150" t="s">
        <v>132</v>
      </c>
      <c r="AS41" s="150" t="s">
        <v>132</v>
      </c>
      <c r="AT41" s="150" t="s">
        <v>132</v>
      </c>
      <c r="AU41" s="150" t="s">
        <v>132</v>
      </c>
      <c r="AV41" s="150" t="s">
        <v>132</v>
      </c>
      <c r="AW41" s="150" t="s">
        <v>132</v>
      </c>
      <c r="AX41" s="150" t="s">
        <v>132</v>
      </c>
      <c r="AY41" s="150" t="s">
        <v>132</v>
      </c>
      <c r="AZ41" s="150" t="s">
        <v>132</v>
      </c>
      <c r="BA41" s="150" t="s">
        <v>132</v>
      </c>
      <c r="BB41" s="150" t="s">
        <v>132</v>
      </c>
      <c r="BC41" s="150" t="s">
        <v>132</v>
      </c>
      <c r="BD41" s="150" t="s">
        <v>132</v>
      </c>
      <c r="BE41" s="150" t="s">
        <v>132</v>
      </c>
      <c r="BF41" s="150" t="s">
        <v>132</v>
      </c>
      <c r="BG41" s="150" t="s">
        <v>132</v>
      </c>
      <c r="BH41" s="150" t="s">
        <v>132</v>
      </c>
      <c r="BI41" s="150" t="s">
        <v>132</v>
      </c>
      <c r="BJ41" s="150" t="s">
        <v>132</v>
      </c>
      <c r="BK41" s="150" t="s">
        <v>132</v>
      </c>
      <c r="BL41" s="150" t="s">
        <v>132</v>
      </c>
      <c r="BM41" s="150" t="s">
        <v>132</v>
      </c>
      <c r="BN41" s="150" t="s">
        <v>132</v>
      </c>
      <c r="BO41" s="150" t="s">
        <v>132</v>
      </c>
      <c r="BP41" s="150" t="s">
        <v>132</v>
      </c>
      <c r="BQ41" s="150" t="s">
        <v>132</v>
      </c>
      <c r="BR41" s="150" t="s">
        <v>132</v>
      </c>
      <c r="BS41" s="150" t="s">
        <v>132</v>
      </c>
      <c r="BT41" s="150" t="s">
        <v>132</v>
      </c>
      <c r="BU41" s="150" t="s">
        <v>132</v>
      </c>
      <c r="BV41" s="150" t="s">
        <v>132</v>
      </c>
      <c r="BW41" s="150" t="s">
        <v>132</v>
      </c>
      <c r="BX41" s="150" t="s">
        <v>132</v>
      </c>
      <c r="BY41" s="150" t="s">
        <v>132</v>
      </c>
      <c r="BZ41" s="150" t="s">
        <v>132</v>
      </c>
      <c r="CA41" s="150" t="s">
        <v>132</v>
      </c>
      <c r="CB41" s="150" t="s">
        <v>132</v>
      </c>
      <c r="CC41" s="190" t="s">
        <v>132</v>
      </c>
      <c r="CD41" s="190" t="s">
        <v>132</v>
      </c>
      <c r="CE41" s="190" t="s">
        <v>132</v>
      </c>
      <c r="CF41" s="190" t="s">
        <v>132</v>
      </c>
      <c r="CG41" s="190" t="s">
        <v>132</v>
      </c>
      <c r="CH41" s="190" t="s">
        <v>132</v>
      </c>
      <c r="CI41" s="190" t="s">
        <v>132</v>
      </c>
      <c r="CJ41" s="190" t="s">
        <v>132</v>
      </c>
      <c r="CK41" s="190" t="s">
        <v>132</v>
      </c>
      <c r="CL41" s="190" t="s">
        <v>132</v>
      </c>
      <c r="CM41" s="190" t="s">
        <v>132</v>
      </c>
      <c r="CN41" s="190" t="s">
        <v>132</v>
      </c>
      <c r="CO41" s="190" t="s">
        <v>132</v>
      </c>
      <c r="CP41" s="190" t="s">
        <v>132</v>
      </c>
      <c r="CQ41" s="190" t="s">
        <v>132</v>
      </c>
      <c r="CR41" s="190" t="s">
        <v>132</v>
      </c>
      <c r="CS41" s="190" t="s">
        <v>132</v>
      </c>
      <c r="CT41" s="190" t="s">
        <v>132</v>
      </c>
      <c r="CU41" s="190" t="s">
        <v>132</v>
      </c>
      <c r="CV41" s="190" t="s">
        <v>132</v>
      </c>
      <c r="CW41" s="190" t="s">
        <v>132</v>
      </c>
      <c r="CX41" s="190" t="s">
        <v>132</v>
      </c>
      <c r="CY41" s="190" t="s">
        <v>132</v>
      </c>
      <c r="CZ41" s="190" t="s">
        <v>132</v>
      </c>
      <c r="DA41" s="190" t="s">
        <v>132</v>
      </c>
      <c r="DB41" s="190" t="s">
        <v>132</v>
      </c>
      <c r="DC41" s="190" t="s">
        <v>132</v>
      </c>
      <c r="DD41" s="190" t="s">
        <v>132</v>
      </c>
      <c r="DE41" s="190" t="s">
        <v>132</v>
      </c>
      <c r="DF41" s="190" t="s">
        <v>132</v>
      </c>
      <c r="DG41" s="190" t="s">
        <v>132</v>
      </c>
      <c r="DH41" s="190" t="s">
        <v>132</v>
      </c>
    </row>
    <row r="42" spans="1:112">
      <c r="A42" s="150" t="s">
        <v>142</v>
      </c>
      <c r="B42" s="150">
        <v>5</v>
      </c>
      <c r="C42" s="150">
        <v>5</v>
      </c>
      <c r="D42" s="150" t="s">
        <v>233</v>
      </c>
      <c r="E42" s="150" t="s">
        <v>228</v>
      </c>
      <c r="F42" s="150">
        <v>112</v>
      </c>
      <c r="G42" s="150" t="s">
        <v>235</v>
      </c>
      <c r="H42" s="150" t="s">
        <v>136</v>
      </c>
      <c r="I42" s="150" t="s">
        <v>132</v>
      </c>
      <c r="J42" s="150" t="s">
        <v>132</v>
      </c>
      <c r="K42" s="150" t="s">
        <v>132</v>
      </c>
      <c r="L42" s="150" t="s">
        <v>284</v>
      </c>
      <c r="M42" s="156">
        <v>0</v>
      </c>
      <c r="N42" s="156">
        <v>44.23</v>
      </c>
      <c r="O42" s="156">
        <v>0</v>
      </c>
      <c r="P42" s="156">
        <v>5.187520000000001</v>
      </c>
      <c r="Q42" s="150" t="s">
        <v>132</v>
      </c>
      <c r="R42" s="150" t="s">
        <v>132</v>
      </c>
      <c r="S42" s="150" t="s">
        <v>132</v>
      </c>
      <c r="T42" s="150" t="s">
        <v>132</v>
      </c>
      <c r="U42" s="150" t="s">
        <v>132</v>
      </c>
      <c r="V42" s="150" t="s">
        <v>132</v>
      </c>
      <c r="W42" s="150" t="s">
        <v>132</v>
      </c>
      <c r="X42" s="150" t="s">
        <v>132</v>
      </c>
      <c r="Y42" s="150" t="s">
        <v>132</v>
      </c>
      <c r="Z42" s="150" t="s">
        <v>132</v>
      </c>
      <c r="AA42" s="150" t="s">
        <v>132</v>
      </c>
      <c r="AB42" s="150" t="s">
        <v>132</v>
      </c>
      <c r="AC42" s="150" t="s">
        <v>132</v>
      </c>
      <c r="AD42" s="150" t="s">
        <v>132</v>
      </c>
      <c r="AE42" s="150" t="s">
        <v>132</v>
      </c>
      <c r="AF42" s="150" t="s">
        <v>132</v>
      </c>
      <c r="AG42" s="150" t="s">
        <v>132</v>
      </c>
      <c r="AH42" s="150" t="s">
        <v>132</v>
      </c>
      <c r="AI42" s="150" t="s">
        <v>132</v>
      </c>
      <c r="AJ42" s="150" t="s">
        <v>132</v>
      </c>
      <c r="AK42" s="150" t="s">
        <v>132</v>
      </c>
      <c r="AL42" s="150" t="s">
        <v>132</v>
      </c>
      <c r="AM42" s="150" t="s">
        <v>132</v>
      </c>
      <c r="AN42" s="150" t="s">
        <v>132</v>
      </c>
      <c r="AO42" s="150" t="s">
        <v>132</v>
      </c>
      <c r="AP42" s="150" t="s">
        <v>132</v>
      </c>
      <c r="AQ42" s="150" t="s">
        <v>132</v>
      </c>
      <c r="AR42" s="150" t="s">
        <v>132</v>
      </c>
      <c r="AS42" s="150" t="s">
        <v>132</v>
      </c>
      <c r="AT42" s="150" t="s">
        <v>132</v>
      </c>
      <c r="AU42" s="150" t="s">
        <v>132</v>
      </c>
      <c r="AV42" s="150" t="s">
        <v>132</v>
      </c>
      <c r="AW42" s="150" t="s">
        <v>132</v>
      </c>
      <c r="AX42" s="150" t="s">
        <v>132</v>
      </c>
      <c r="AY42" s="150" t="s">
        <v>132</v>
      </c>
      <c r="AZ42" s="150" t="s">
        <v>132</v>
      </c>
      <c r="BA42" s="150" t="s">
        <v>132</v>
      </c>
      <c r="BB42" s="150" t="s">
        <v>132</v>
      </c>
      <c r="BC42" s="150" t="s">
        <v>132</v>
      </c>
      <c r="BD42" s="150" t="s">
        <v>132</v>
      </c>
      <c r="BE42" s="150" t="s">
        <v>132</v>
      </c>
      <c r="BF42" s="150" t="s">
        <v>132</v>
      </c>
      <c r="BG42" s="150" t="s">
        <v>132</v>
      </c>
      <c r="BH42" s="150" t="s">
        <v>132</v>
      </c>
      <c r="BI42" s="150" t="s">
        <v>132</v>
      </c>
      <c r="BJ42" s="150" t="s">
        <v>132</v>
      </c>
      <c r="BK42" s="150" t="s">
        <v>132</v>
      </c>
      <c r="BL42" s="150" t="s">
        <v>132</v>
      </c>
      <c r="BM42" s="150" t="s">
        <v>132</v>
      </c>
      <c r="BN42" s="150" t="s">
        <v>132</v>
      </c>
      <c r="BO42" s="150" t="s">
        <v>132</v>
      </c>
      <c r="BP42" s="150" t="s">
        <v>132</v>
      </c>
      <c r="BQ42" s="150" t="s">
        <v>132</v>
      </c>
      <c r="BR42" s="150" t="s">
        <v>132</v>
      </c>
      <c r="BS42" s="150" t="s">
        <v>132</v>
      </c>
      <c r="BT42" s="150" t="s">
        <v>132</v>
      </c>
      <c r="BU42" s="150" t="s">
        <v>132</v>
      </c>
      <c r="BV42" s="150" t="s">
        <v>132</v>
      </c>
      <c r="BW42" s="150" t="s">
        <v>132</v>
      </c>
      <c r="BX42" s="150" t="s">
        <v>132</v>
      </c>
      <c r="BY42" s="150" t="s">
        <v>132</v>
      </c>
      <c r="BZ42" s="150" t="s">
        <v>132</v>
      </c>
      <c r="CA42" s="150" t="s">
        <v>132</v>
      </c>
      <c r="CB42" s="150" t="s">
        <v>132</v>
      </c>
      <c r="CC42" s="190" t="s">
        <v>132</v>
      </c>
      <c r="CD42" s="190" t="s">
        <v>132</v>
      </c>
      <c r="CE42" s="190" t="s">
        <v>132</v>
      </c>
      <c r="CF42" s="190" t="s">
        <v>132</v>
      </c>
      <c r="CG42" s="190" t="s">
        <v>132</v>
      </c>
      <c r="CH42" s="190" t="s">
        <v>132</v>
      </c>
      <c r="CI42" s="190" t="s">
        <v>132</v>
      </c>
      <c r="CJ42" s="190" t="s">
        <v>132</v>
      </c>
      <c r="CK42" s="190" t="s">
        <v>132</v>
      </c>
      <c r="CL42" s="190" t="s">
        <v>132</v>
      </c>
      <c r="CM42" s="190" t="s">
        <v>132</v>
      </c>
      <c r="CN42" s="190" t="s">
        <v>132</v>
      </c>
      <c r="CO42" s="190" t="s">
        <v>132</v>
      </c>
      <c r="CP42" s="190" t="s">
        <v>132</v>
      </c>
      <c r="CQ42" s="190" t="s">
        <v>132</v>
      </c>
      <c r="CR42" s="190" t="s">
        <v>132</v>
      </c>
      <c r="CS42" s="190" t="s">
        <v>132</v>
      </c>
      <c r="CT42" s="190" t="s">
        <v>132</v>
      </c>
      <c r="CU42" s="190" t="s">
        <v>132</v>
      </c>
      <c r="CV42" s="190" t="s">
        <v>132</v>
      </c>
      <c r="CW42" s="190" t="s">
        <v>132</v>
      </c>
      <c r="CX42" s="190" t="s">
        <v>132</v>
      </c>
      <c r="CY42" s="190" t="s">
        <v>132</v>
      </c>
      <c r="CZ42" s="190" t="s">
        <v>132</v>
      </c>
      <c r="DA42" s="190" t="s">
        <v>132</v>
      </c>
      <c r="DB42" s="190" t="s">
        <v>132</v>
      </c>
      <c r="DC42" s="190" t="s">
        <v>132</v>
      </c>
      <c r="DD42" s="190" t="s">
        <v>132</v>
      </c>
      <c r="DE42" s="190" t="s">
        <v>132</v>
      </c>
      <c r="DF42" s="190" t="s">
        <v>132</v>
      </c>
      <c r="DG42" s="190" t="s">
        <v>132</v>
      </c>
      <c r="DH42" s="190" t="s">
        <v>132</v>
      </c>
    </row>
    <row r="43" spans="1:112">
      <c r="A43" s="150" t="s">
        <v>142</v>
      </c>
      <c r="B43" s="150">
        <v>5</v>
      </c>
      <c r="C43" s="150">
        <v>5</v>
      </c>
      <c r="D43" s="150" t="s">
        <v>233</v>
      </c>
      <c r="E43" s="150" t="s">
        <v>228</v>
      </c>
      <c r="F43" s="150">
        <v>28</v>
      </c>
      <c r="G43" s="150" t="s">
        <v>234</v>
      </c>
      <c r="H43" s="150" t="s">
        <v>136</v>
      </c>
      <c r="I43" s="150" t="s">
        <v>132</v>
      </c>
      <c r="J43" s="150" t="s">
        <v>132</v>
      </c>
      <c r="K43" s="150" t="s">
        <v>132</v>
      </c>
      <c r="L43" s="150" t="s">
        <v>284</v>
      </c>
      <c r="M43" s="156">
        <v>0</v>
      </c>
      <c r="N43" s="156">
        <v>0.68510000000000004</v>
      </c>
      <c r="O43" s="156">
        <v>0</v>
      </c>
      <c r="P43" s="156">
        <v>1.5374736000000002</v>
      </c>
      <c r="Q43" s="150" t="s">
        <v>132</v>
      </c>
      <c r="R43" s="150" t="s">
        <v>132</v>
      </c>
      <c r="S43" s="150" t="s">
        <v>132</v>
      </c>
      <c r="T43" s="150" t="s">
        <v>132</v>
      </c>
      <c r="U43" s="150" t="s">
        <v>132</v>
      </c>
      <c r="V43" s="150" t="s">
        <v>132</v>
      </c>
      <c r="W43" s="150" t="s">
        <v>132</v>
      </c>
      <c r="X43" s="150" t="s">
        <v>132</v>
      </c>
      <c r="Y43" s="150" t="s">
        <v>132</v>
      </c>
      <c r="Z43" s="150" t="s">
        <v>132</v>
      </c>
      <c r="AA43" s="150" t="s">
        <v>132</v>
      </c>
      <c r="AB43" s="150" t="s">
        <v>132</v>
      </c>
      <c r="AC43" s="150" t="s">
        <v>132</v>
      </c>
      <c r="AD43" s="150" t="s">
        <v>132</v>
      </c>
      <c r="AE43" s="150" t="s">
        <v>132</v>
      </c>
      <c r="AF43" s="150" t="s">
        <v>132</v>
      </c>
      <c r="AG43" s="150" t="s">
        <v>132</v>
      </c>
      <c r="AH43" s="150" t="s">
        <v>132</v>
      </c>
      <c r="AI43" s="150" t="s">
        <v>132</v>
      </c>
      <c r="AJ43" s="150" t="s">
        <v>132</v>
      </c>
      <c r="AK43" s="150" t="s">
        <v>132</v>
      </c>
      <c r="AL43" s="150" t="s">
        <v>132</v>
      </c>
      <c r="AM43" s="150" t="s">
        <v>132</v>
      </c>
      <c r="AN43" s="150" t="s">
        <v>132</v>
      </c>
      <c r="AO43" s="150" t="s">
        <v>132</v>
      </c>
      <c r="AP43" s="150" t="s">
        <v>132</v>
      </c>
      <c r="AQ43" s="150" t="s">
        <v>132</v>
      </c>
      <c r="AR43" s="150" t="s">
        <v>132</v>
      </c>
      <c r="AS43" s="150" t="s">
        <v>132</v>
      </c>
      <c r="AT43" s="150" t="s">
        <v>132</v>
      </c>
      <c r="AU43" s="150" t="s">
        <v>132</v>
      </c>
      <c r="AV43" s="150" t="s">
        <v>132</v>
      </c>
      <c r="AW43" s="150" t="s">
        <v>132</v>
      </c>
      <c r="AX43" s="150" t="s">
        <v>132</v>
      </c>
      <c r="AY43" s="150" t="s">
        <v>132</v>
      </c>
      <c r="AZ43" s="150" t="s">
        <v>132</v>
      </c>
      <c r="BA43" s="150" t="s">
        <v>132</v>
      </c>
      <c r="BB43" s="150" t="s">
        <v>132</v>
      </c>
      <c r="BC43" s="150" t="s">
        <v>132</v>
      </c>
      <c r="BD43" s="150" t="s">
        <v>132</v>
      </c>
      <c r="BE43" s="150" t="s">
        <v>132</v>
      </c>
      <c r="BF43" s="150" t="s">
        <v>132</v>
      </c>
      <c r="BG43" s="150" t="s">
        <v>132</v>
      </c>
      <c r="BH43" s="150" t="s">
        <v>132</v>
      </c>
      <c r="BI43" s="150" t="s">
        <v>132</v>
      </c>
      <c r="BJ43" s="150" t="s">
        <v>132</v>
      </c>
      <c r="BK43" s="150" t="s">
        <v>132</v>
      </c>
      <c r="BL43" s="150" t="s">
        <v>132</v>
      </c>
      <c r="BM43" s="150" t="s">
        <v>132</v>
      </c>
      <c r="BN43" s="150" t="s">
        <v>132</v>
      </c>
      <c r="BO43" s="150" t="s">
        <v>132</v>
      </c>
      <c r="BP43" s="150" t="s">
        <v>132</v>
      </c>
      <c r="BQ43" s="150" t="s">
        <v>132</v>
      </c>
      <c r="BR43" s="150" t="s">
        <v>132</v>
      </c>
      <c r="BS43" s="150" t="s">
        <v>132</v>
      </c>
      <c r="BT43" s="150" t="s">
        <v>132</v>
      </c>
      <c r="BU43" s="150" t="s">
        <v>132</v>
      </c>
      <c r="BV43" s="150" t="s">
        <v>132</v>
      </c>
      <c r="BW43" s="150" t="s">
        <v>132</v>
      </c>
      <c r="BX43" s="150" t="s">
        <v>132</v>
      </c>
      <c r="BY43" s="150" t="s">
        <v>132</v>
      </c>
      <c r="BZ43" s="150" t="s">
        <v>132</v>
      </c>
      <c r="CA43" s="150" t="s">
        <v>132</v>
      </c>
      <c r="CB43" s="150" t="s">
        <v>132</v>
      </c>
      <c r="CC43" s="190" t="s">
        <v>132</v>
      </c>
      <c r="CD43" s="190" t="s">
        <v>132</v>
      </c>
      <c r="CE43" s="190" t="s">
        <v>132</v>
      </c>
      <c r="CF43" s="190" t="s">
        <v>132</v>
      </c>
      <c r="CG43" s="190" t="s">
        <v>132</v>
      </c>
      <c r="CH43" s="190" t="s">
        <v>132</v>
      </c>
      <c r="CI43" s="190" t="s">
        <v>132</v>
      </c>
      <c r="CJ43" s="190" t="s">
        <v>132</v>
      </c>
      <c r="CK43" s="190" t="s">
        <v>132</v>
      </c>
      <c r="CL43" s="190" t="s">
        <v>132</v>
      </c>
      <c r="CM43" s="190" t="s">
        <v>132</v>
      </c>
      <c r="CN43" s="190" t="s">
        <v>132</v>
      </c>
      <c r="CO43" s="190" t="s">
        <v>132</v>
      </c>
      <c r="CP43" s="190" t="s">
        <v>132</v>
      </c>
      <c r="CQ43" s="190" t="s">
        <v>132</v>
      </c>
      <c r="CR43" s="190" t="s">
        <v>132</v>
      </c>
      <c r="CS43" s="190" t="s">
        <v>132</v>
      </c>
      <c r="CT43" s="190" t="s">
        <v>132</v>
      </c>
      <c r="CU43" s="190" t="s">
        <v>132</v>
      </c>
      <c r="CV43" s="190" t="s">
        <v>132</v>
      </c>
      <c r="CW43" s="190" t="s">
        <v>132</v>
      </c>
      <c r="CX43" s="190" t="s">
        <v>132</v>
      </c>
      <c r="CY43" s="190" t="s">
        <v>132</v>
      </c>
      <c r="CZ43" s="190" t="s">
        <v>132</v>
      </c>
      <c r="DA43" s="190" t="s">
        <v>132</v>
      </c>
      <c r="DB43" s="190" t="s">
        <v>132</v>
      </c>
      <c r="DC43" s="190" t="s">
        <v>132</v>
      </c>
      <c r="DD43" s="190" t="s">
        <v>132</v>
      </c>
      <c r="DE43" s="190" t="s">
        <v>132</v>
      </c>
      <c r="DF43" s="190" t="s">
        <v>132</v>
      </c>
      <c r="DG43" s="190" t="s">
        <v>132</v>
      </c>
      <c r="DH43" s="190" t="s">
        <v>132</v>
      </c>
    </row>
    <row r="44" spans="1:112">
      <c r="A44" s="150" t="s">
        <v>142</v>
      </c>
      <c r="B44" s="150">
        <v>5</v>
      </c>
      <c r="C44" s="150">
        <v>5</v>
      </c>
      <c r="D44" s="150" t="s">
        <v>233</v>
      </c>
      <c r="E44" s="150" t="s">
        <v>228</v>
      </c>
      <c r="F44" s="150">
        <v>70</v>
      </c>
      <c r="G44" s="150" t="s">
        <v>235</v>
      </c>
      <c r="H44" s="150" t="s">
        <v>136</v>
      </c>
      <c r="I44" s="150" t="s">
        <v>132</v>
      </c>
      <c r="J44" s="150" t="s">
        <v>132</v>
      </c>
      <c r="K44" s="150" t="s">
        <v>132</v>
      </c>
      <c r="L44" s="150" t="s">
        <v>284</v>
      </c>
      <c r="M44" s="156">
        <v>0.48299999999999998</v>
      </c>
      <c r="N44" s="156">
        <v>5.19</v>
      </c>
      <c r="O44" s="156">
        <v>1.1336520000000001</v>
      </c>
      <c r="P44" s="156">
        <v>4.8744800000000001</v>
      </c>
      <c r="Q44" s="150" t="s">
        <v>132</v>
      </c>
      <c r="R44" s="150" t="s">
        <v>132</v>
      </c>
      <c r="S44" s="150" t="s">
        <v>132</v>
      </c>
      <c r="T44" s="150" t="s">
        <v>132</v>
      </c>
      <c r="U44" s="150" t="s">
        <v>132</v>
      </c>
      <c r="V44" s="150" t="s">
        <v>132</v>
      </c>
      <c r="W44" s="150" t="s">
        <v>132</v>
      </c>
      <c r="X44" s="150" t="s">
        <v>132</v>
      </c>
      <c r="Y44" s="150" t="s">
        <v>132</v>
      </c>
      <c r="Z44" s="150" t="s">
        <v>132</v>
      </c>
      <c r="AA44" s="150" t="s">
        <v>132</v>
      </c>
      <c r="AB44" s="150" t="s">
        <v>132</v>
      </c>
      <c r="AC44" s="150" t="s">
        <v>132</v>
      </c>
      <c r="AD44" s="150" t="s">
        <v>132</v>
      </c>
      <c r="AE44" s="150" t="s">
        <v>132</v>
      </c>
      <c r="AF44" s="150" t="s">
        <v>132</v>
      </c>
      <c r="AG44" s="150" t="s">
        <v>132</v>
      </c>
      <c r="AH44" s="150" t="s">
        <v>132</v>
      </c>
      <c r="AI44" s="150" t="s">
        <v>132</v>
      </c>
      <c r="AJ44" s="150" t="s">
        <v>132</v>
      </c>
      <c r="AK44" s="150" t="s">
        <v>132</v>
      </c>
      <c r="AL44" s="150" t="s">
        <v>132</v>
      </c>
      <c r="AM44" s="150" t="s">
        <v>132</v>
      </c>
      <c r="AN44" s="150" t="s">
        <v>132</v>
      </c>
      <c r="AO44" s="150" t="s">
        <v>132</v>
      </c>
      <c r="AP44" s="150" t="s">
        <v>132</v>
      </c>
      <c r="AQ44" s="150" t="s">
        <v>132</v>
      </c>
      <c r="AR44" s="150" t="s">
        <v>132</v>
      </c>
      <c r="AS44" s="150" t="s">
        <v>132</v>
      </c>
      <c r="AT44" s="150" t="s">
        <v>132</v>
      </c>
      <c r="AU44" s="150" t="s">
        <v>132</v>
      </c>
      <c r="AV44" s="150" t="s">
        <v>132</v>
      </c>
      <c r="AW44" s="150" t="s">
        <v>132</v>
      </c>
      <c r="AX44" s="150" t="s">
        <v>132</v>
      </c>
      <c r="AY44" s="150" t="s">
        <v>132</v>
      </c>
      <c r="AZ44" s="150" t="s">
        <v>132</v>
      </c>
      <c r="BA44" s="150" t="s">
        <v>132</v>
      </c>
      <c r="BB44" s="150" t="s">
        <v>132</v>
      </c>
      <c r="BC44" s="150" t="s">
        <v>132</v>
      </c>
      <c r="BD44" s="150" t="s">
        <v>132</v>
      </c>
      <c r="BE44" s="150" t="s">
        <v>132</v>
      </c>
      <c r="BF44" s="150" t="s">
        <v>132</v>
      </c>
      <c r="BG44" s="150" t="s">
        <v>132</v>
      </c>
      <c r="BH44" s="150" t="s">
        <v>132</v>
      </c>
      <c r="BI44" s="150" t="s">
        <v>132</v>
      </c>
      <c r="BJ44" s="150" t="s">
        <v>132</v>
      </c>
      <c r="BK44" s="150" t="s">
        <v>132</v>
      </c>
      <c r="BL44" s="150" t="s">
        <v>132</v>
      </c>
      <c r="BM44" s="150" t="s">
        <v>132</v>
      </c>
      <c r="BN44" s="150" t="s">
        <v>132</v>
      </c>
      <c r="BO44" s="150" t="s">
        <v>132</v>
      </c>
      <c r="BP44" s="150" t="s">
        <v>132</v>
      </c>
      <c r="BQ44" s="150" t="s">
        <v>132</v>
      </c>
      <c r="BR44" s="150" t="s">
        <v>132</v>
      </c>
      <c r="BS44" s="150" t="s">
        <v>132</v>
      </c>
      <c r="BT44" s="150" t="s">
        <v>132</v>
      </c>
      <c r="BU44" s="150" t="s">
        <v>132</v>
      </c>
      <c r="BV44" s="150" t="s">
        <v>132</v>
      </c>
      <c r="BW44" s="150" t="s">
        <v>132</v>
      </c>
      <c r="BX44" s="150" t="s">
        <v>132</v>
      </c>
      <c r="BY44" s="150" t="s">
        <v>132</v>
      </c>
      <c r="BZ44" s="150" t="s">
        <v>132</v>
      </c>
      <c r="CA44" s="150" t="s">
        <v>132</v>
      </c>
      <c r="CB44" s="150" t="s">
        <v>132</v>
      </c>
      <c r="CC44" s="190" t="s">
        <v>132</v>
      </c>
      <c r="CD44" s="190" t="s">
        <v>132</v>
      </c>
      <c r="CE44" s="190" t="s">
        <v>132</v>
      </c>
      <c r="CF44" s="190" t="s">
        <v>132</v>
      </c>
      <c r="CG44" s="190" t="s">
        <v>132</v>
      </c>
      <c r="CH44" s="190" t="s">
        <v>132</v>
      </c>
      <c r="CI44" s="190" t="s">
        <v>132</v>
      </c>
      <c r="CJ44" s="190" t="s">
        <v>132</v>
      </c>
      <c r="CK44" s="190" t="s">
        <v>132</v>
      </c>
      <c r="CL44" s="190" t="s">
        <v>132</v>
      </c>
      <c r="CM44" s="190" t="s">
        <v>132</v>
      </c>
      <c r="CN44" s="190" t="s">
        <v>132</v>
      </c>
      <c r="CO44" s="190" t="s">
        <v>132</v>
      </c>
      <c r="CP44" s="190" t="s">
        <v>132</v>
      </c>
      <c r="CQ44" s="190" t="s">
        <v>132</v>
      </c>
      <c r="CR44" s="190" t="s">
        <v>132</v>
      </c>
      <c r="CS44" s="190" t="s">
        <v>132</v>
      </c>
      <c r="CT44" s="190" t="s">
        <v>132</v>
      </c>
      <c r="CU44" s="190" t="s">
        <v>132</v>
      </c>
      <c r="CV44" s="190" t="s">
        <v>132</v>
      </c>
      <c r="CW44" s="190" t="s">
        <v>132</v>
      </c>
      <c r="CX44" s="190" t="s">
        <v>132</v>
      </c>
      <c r="CY44" s="190" t="s">
        <v>132</v>
      </c>
      <c r="CZ44" s="190" t="s">
        <v>132</v>
      </c>
      <c r="DA44" s="190" t="s">
        <v>132</v>
      </c>
      <c r="DB44" s="190" t="s">
        <v>132</v>
      </c>
      <c r="DC44" s="190" t="s">
        <v>132</v>
      </c>
      <c r="DD44" s="190" t="s">
        <v>132</v>
      </c>
      <c r="DE44" s="190" t="s">
        <v>132</v>
      </c>
      <c r="DF44" s="190" t="s">
        <v>132</v>
      </c>
      <c r="DG44" s="190" t="s">
        <v>132</v>
      </c>
      <c r="DH44" s="190" t="s">
        <v>132</v>
      </c>
    </row>
    <row r="45" spans="1:112">
      <c r="A45" s="150" t="s">
        <v>142</v>
      </c>
      <c r="B45" s="150">
        <v>5</v>
      </c>
      <c r="C45" s="150">
        <v>5</v>
      </c>
      <c r="D45" s="150" t="s">
        <v>233</v>
      </c>
      <c r="E45" s="150" t="s">
        <v>228</v>
      </c>
      <c r="F45" s="150">
        <v>112</v>
      </c>
      <c r="G45" s="150" t="s">
        <v>235</v>
      </c>
      <c r="H45" s="150" t="s">
        <v>136</v>
      </c>
      <c r="I45" s="150" t="s">
        <v>132</v>
      </c>
      <c r="J45" s="150" t="s">
        <v>132</v>
      </c>
      <c r="K45" s="150" t="s">
        <v>132</v>
      </c>
      <c r="L45" s="150" t="s">
        <v>284</v>
      </c>
      <c r="M45" s="156">
        <v>0</v>
      </c>
      <c r="N45" s="156">
        <v>10.62</v>
      </c>
      <c r="O45" s="156">
        <v>0</v>
      </c>
      <c r="P45" s="156">
        <v>2.3030800000000027</v>
      </c>
      <c r="Q45" s="150" t="s">
        <v>132</v>
      </c>
      <c r="R45" s="150" t="s">
        <v>132</v>
      </c>
      <c r="S45" s="150" t="s">
        <v>132</v>
      </c>
      <c r="T45" s="150" t="s">
        <v>132</v>
      </c>
      <c r="U45" s="150" t="s">
        <v>132</v>
      </c>
      <c r="V45" s="150" t="s">
        <v>132</v>
      </c>
      <c r="W45" s="150" t="s">
        <v>132</v>
      </c>
      <c r="X45" s="150" t="s">
        <v>132</v>
      </c>
      <c r="Y45" s="150" t="s">
        <v>132</v>
      </c>
      <c r="Z45" s="150" t="s">
        <v>132</v>
      </c>
      <c r="AA45" s="150" t="s">
        <v>132</v>
      </c>
      <c r="AB45" s="150" t="s">
        <v>132</v>
      </c>
      <c r="AC45" s="150" t="s">
        <v>132</v>
      </c>
      <c r="AD45" s="150" t="s">
        <v>132</v>
      </c>
      <c r="AE45" s="150" t="s">
        <v>132</v>
      </c>
      <c r="AF45" s="150" t="s">
        <v>132</v>
      </c>
      <c r="AG45" s="150" t="s">
        <v>132</v>
      </c>
      <c r="AH45" s="150" t="s">
        <v>132</v>
      </c>
      <c r="AI45" s="150" t="s">
        <v>132</v>
      </c>
      <c r="AJ45" s="150" t="s">
        <v>132</v>
      </c>
      <c r="AK45" s="150" t="s">
        <v>132</v>
      </c>
      <c r="AL45" s="150" t="s">
        <v>132</v>
      </c>
      <c r="AM45" s="150" t="s">
        <v>132</v>
      </c>
      <c r="AN45" s="150" t="s">
        <v>132</v>
      </c>
      <c r="AO45" s="150" t="s">
        <v>132</v>
      </c>
      <c r="AP45" s="150" t="s">
        <v>132</v>
      </c>
      <c r="AQ45" s="150" t="s">
        <v>132</v>
      </c>
      <c r="AR45" s="150" t="s">
        <v>132</v>
      </c>
      <c r="AS45" s="150" t="s">
        <v>132</v>
      </c>
      <c r="AT45" s="150" t="s">
        <v>132</v>
      </c>
      <c r="AU45" s="150" t="s">
        <v>132</v>
      </c>
      <c r="AV45" s="150" t="s">
        <v>132</v>
      </c>
      <c r="AW45" s="150" t="s">
        <v>132</v>
      </c>
      <c r="AX45" s="150" t="s">
        <v>132</v>
      </c>
      <c r="AY45" s="150" t="s">
        <v>132</v>
      </c>
      <c r="AZ45" s="150" t="s">
        <v>132</v>
      </c>
      <c r="BA45" s="150" t="s">
        <v>132</v>
      </c>
      <c r="BB45" s="150" t="s">
        <v>132</v>
      </c>
      <c r="BC45" s="150" t="s">
        <v>132</v>
      </c>
      <c r="BD45" s="150" t="s">
        <v>132</v>
      </c>
      <c r="BE45" s="150" t="s">
        <v>132</v>
      </c>
      <c r="BF45" s="150" t="s">
        <v>132</v>
      </c>
      <c r="BG45" s="150" t="s">
        <v>132</v>
      </c>
      <c r="BH45" s="150" t="s">
        <v>132</v>
      </c>
      <c r="BI45" s="150" t="s">
        <v>132</v>
      </c>
      <c r="BJ45" s="150" t="s">
        <v>132</v>
      </c>
      <c r="BK45" s="150" t="s">
        <v>132</v>
      </c>
      <c r="BL45" s="150" t="s">
        <v>132</v>
      </c>
      <c r="BM45" s="150" t="s">
        <v>132</v>
      </c>
      <c r="BN45" s="150" t="s">
        <v>132</v>
      </c>
      <c r="BO45" s="150" t="s">
        <v>132</v>
      </c>
      <c r="BP45" s="150" t="s">
        <v>132</v>
      </c>
      <c r="BQ45" s="150" t="s">
        <v>132</v>
      </c>
      <c r="BR45" s="150" t="s">
        <v>132</v>
      </c>
      <c r="BS45" s="150" t="s">
        <v>132</v>
      </c>
      <c r="BT45" s="150" t="s">
        <v>132</v>
      </c>
      <c r="BU45" s="150" t="s">
        <v>132</v>
      </c>
      <c r="BV45" s="150" t="s">
        <v>132</v>
      </c>
      <c r="BW45" s="150" t="s">
        <v>132</v>
      </c>
      <c r="BX45" s="150" t="s">
        <v>132</v>
      </c>
      <c r="BY45" s="150" t="s">
        <v>132</v>
      </c>
      <c r="BZ45" s="150" t="s">
        <v>132</v>
      </c>
      <c r="CA45" s="150" t="s">
        <v>132</v>
      </c>
      <c r="CB45" s="150" t="s">
        <v>132</v>
      </c>
      <c r="CC45" s="190" t="s">
        <v>132</v>
      </c>
      <c r="CD45" s="190" t="s">
        <v>132</v>
      </c>
      <c r="CE45" s="190" t="s">
        <v>132</v>
      </c>
      <c r="CF45" s="190" t="s">
        <v>132</v>
      </c>
      <c r="CG45" s="190" t="s">
        <v>132</v>
      </c>
      <c r="CH45" s="190" t="s">
        <v>132</v>
      </c>
      <c r="CI45" s="190" t="s">
        <v>132</v>
      </c>
      <c r="CJ45" s="190" t="s">
        <v>132</v>
      </c>
      <c r="CK45" s="190" t="s">
        <v>132</v>
      </c>
      <c r="CL45" s="190" t="s">
        <v>132</v>
      </c>
      <c r="CM45" s="190" t="s">
        <v>132</v>
      </c>
      <c r="CN45" s="190" t="s">
        <v>132</v>
      </c>
      <c r="CO45" s="190" t="s">
        <v>132</v>
      </c>
      <c r="CP45" s="190" t="s">
        <v>132</v>
      </c>
      <c r="CQ45" s="190" t="s">
        <v>132</v>
      </c>
      <c r="CR45" s="190" t="s">
        <v>132</v>
      </c>
      <c r="CS45" s="190" t="s">
        <v>132</v>
      </c>
      <c r="CT45" s="190" t="s">
        <v>132</v>
      </c>
      <c r="CU45" s="190" t="s">
        <v>132</v>
      </c>
      <c r="CV45" s="190" t="s">
        <v>132</v>
      </c>
      <c r="CW45" s="190" t="s">
        <v>132</v>
      </c>
      <c r="CX45" s="190" t="s">
        <v>132</v>
      </c>
      <c r="CY45" s="190" t="s">
        <v>132</v>
      </c>
      <c r="CZ45" s="190" t="s">
        <v>132</v>
      </c>
      <c r="DA45" s="190" t="s">
        <v>132</v>
      </c>
      <c r="DB45" s="190" t="s">
        <v>132</v>
      </c>
      <c r="DC45" s="190" t="s">
        <v>132</v>
      </c>
      <c r="DD45" s="190" t="s">
        <v>132</v>
      </c>
      <c r="DE45" s="190" t="s">
        <v>132</v>
      </c>
      <c r="DF45" s="190" t="s">
        <v>132</v>
      </c>
      <c r="DG45" s="190" t="s">
        <v>132</v>
      </c>
      <c r="DH45" s="190" t="s">
        <v>132</v>
      </c>
    </row>
    <row r="46" spans="1:112">
      <c r="A46" s="150" t="s">
        <v>142</v>
      </c>
      <c r="B46" s="150">
        <v>5</v>
      </c>
      <c r="C46" s="150">
        <v>5</v>
      </c>
      <c r="D46" s="150" t="s">
        <v>233</v>
      </c>
      <c r="E46" s="150" t="s">
        <v>229</v>
      </c>
      <c r="F46" s="150">
        <v>28</v>
      </c>
      <c r="G46" s="150" t="s">
        <v>234</v>
      </c>
      <c r="H46" s="150" t="s">
        <v>136</v>
      </c>
      <c r="I46" s="150" t="s">
        <v>132</v>
      </c>
      <c r="J46" s="150" t="s">
        <v>132</v>
      </c>
      <c r="K46" s="150" t="s">
        <v>132</v>
      </c>
      <c r="L46" s="150" t="s">
        <v>284</v>
      </c>
      <c r="M46" s="156">
        <v>0</v>
      </c>
      <c r="N46" s="156">
        <v>2.4500000000000002</v>
      </c>
      <c r="O46" s="150">
        <v>0</v>
      </c>
      <c r="P46" s="156">
        <v>1.3863199999999993</v>
      </c>
      <c r="Q46" s="150" t="s">
        <v>132</v>
      </c>
      <c r="R46" s="150" t="s">
        <v>132</v>
      </c>
      <c r="S46" s="150" t="s">
        <v>132</v>
      </c>
      <c r="T46" s="150" t="s">
        <v>132</v>
      </c>
      <c r="U46" s="150" t="s">
        <v>132</v>
      </c>
      <c r="V46" s="150" t="s">
        <v>132</v>
      </c>
      <c r="W46" s="150" t="s">
        <v>132</v>
      </c>
      <c r="X46" s="150" t="s">
        <v>132</v>
      </c>
      <c r="Y46" s="150" t="s">
        <v>132</v>
      </c>
      <c r="Z46" s="150" t="s">
        <v>132</v>
      </c>
      <c r="AA46" s="150" t="s">
        <v>132</v>
      </c>
      <c r="AB46" s="150" t="s">
        <v>132</v>
      </c>
      <c r="AC46" s="150" t="s">
        <v>132</v>
      </c>
      <c r="AD46" s="150" t="s">
        <v>132</v>
      </c>
      <c r="AE46" s="150" t="s">
        <v>132</v>
      </c>
      <c r="AF46" s="150" t="s">
        <v>132</v>
      </c>
      <c r="AG46" s="150" t="s">
        <v>132</v>
      </c>
      <c r="AH46" s="150" t="s">
        <v>132</v>
      </c>
      <c r="AI46" s="150" t="s">
        <v>132</v>
      </c>
      <c r="AJ46" s="150" t="s">
        <v>132</v>
      </c>
      <c r="AK46" s="150" t="s">
        <v>132</v>
      </c>
      <c r="AL46" s="150" t="s">
        <v>132</v>
      </c>
      <c r="AM46" s="150" t="s">
        <v>132</v>
      </c>
      <c r="AN46" s="150" t="s">
        <v>132</v>
      </c>
      <c r="AO46" s="150" t="s">
        <v>132</v>
      </c>
      <c r="AP46" s="150" t="s">
        <v>132</v>
      </c>
      <c r="AQ46" s="150" t="s">
        <v>132</v>
      </c>
      <c r="AR46" s="150" t="s">
        <v>132</v>
      </c>
      <c r="AS46" s="150" t="s">
        <v>132</v>
      </c>
      <c r="AT46" s="150" t="s">
        <v>132</v>
      </c>
      <c r="AU46" s="150" t="s">
        <v>132</v>
      </c>
      <c r="AV46" s="150" t="s">
        <v>132</v>
      </c>
      <c r="AW46" s="150" t="s">
        <v>132</v>
      </c>
      <c r="AX46" s="150" t="s">
        <v>132</v>
      </c>
      <c r="AY46" s="150" t="s">
        <v>132</v>
      </c>
      <c r="AZ46" s="150" t="s">
        <v>132</v>
      </c>
      <c r="BA46" s="150" t="s">
        <v>132</v>
      </c>
      <c r="BB46" s="150" t="s">
        <v>132</v>
      </c>
      <c r="BC46" s="150" t="s">
        <v>132</v>
      </c>
      <c r="BD46" s="150" t="s">
        <v>132</v>
      </c>
      <c r="BE46" s="150" t="s">
        <v>132</v>
      </c>
      <c r="BF46" s="150" t="s">
        <v>132</v>
      </c>
      <c r="BG46" s="150" t="s">
        <v>132</v>
      </c>
      <c r="BH46" s="150" t="s">
        <v>132</v>
      </c>
      <c r="BI46" s="150" t="s">
        <v>132</v>
      </c>
      <c r="BJ46" s="150" t="s">
        <v>132</v>
      </c>
      <c r="BK46" s="150" t="s">
        <v>132</v>
      </c>
      <c r="BL46" s="150" t="s">
        <v>132</v>
      </c>
      <c r="BM46" s="150" t="s">
        <v>132</v>
      </c>
      <c r="BN46" s="150" t="s">
        <v>132</v>
      </c>
      <c r="BO46" s="150" t="s">
        <v>132</v>
      </c>
      <c r="BP46" s="150" t="s">
        <v>132</v>
      </c>
      <c r="BQ46" s="150" t="s">
        <v>132</v>
      </c>
      <c r="BR46" s="150" t="s">
        <v>132</v>
      </c>
      <c r="BS46" s="150" t="s">
        <v>132</v>
      </c>
      <c r="BT46" s="150" t="s">
        <v>132</v>
      </c>
      <c r="BU46" s="150" t="s">
        <v>132</v>
      </c>
      <c r="BV46" s="150" t="s">
        <v>132</v>
      </c>
      <c r="BW46" s="150" t="s">
        <v>132</v>
      </c>
      <c r="BX46" s="150" t="s">
        <v>132</v>
      </c>
      <c r="BY46" s="150" t="s">
        <v>132</v>
      </c>
      <c r="BZ46" s="150" t="s">
        <v>132</v>
      </c>
      <c r="CA46" s="150" t="s">
        <v>132</v>
      </c>
      <c r="CB46" s="150" t="s">
        <v>132</v>
      </c>
      <c r="CC46" s="190" t="s">
        <v>132</v>
      </c>
      <c r="CD46" s="190" t="s">
        <v>132</v>
      </c>
      <c r="CE46" s="190" t="s">
        <v>132</v>
      </c>
      <c r="CF46" s="190" t="s">
        <v>132</v>
      </c>
      <c r="CG46" s="190" t="s">
        <v>132</v>
      </c>
      <c r="CH46" s="190" t="s">
        <v>132</v>
      </c>
      <c r="CI46" s="190" t="s">
        <v>132</v>
      </c>
      <c r="CJ46" s="190" t="s">
        <v>132</v>
      </c>
      <c r="CK46" s="190" t="s">
        <v>132</v>
      </c>
      <c r="CL46" s="190" t="s">
        <v>132</v>
      </c>
      <c r="CM46" s="190" t="s">
        <v>132</v>
      </c>
      <c r="CN46" s="190" t="s">
        <v>132</v>
      </c>
      <c r="CO46" s="190" t="s">
        <v>132</v>
      </c>
      <c r="CP46" s="190" t="s">
        <v>132</v>
      </c>
      <c r="CQ46" s="190" t="s">
        <v>132</v>
      </c>
      <c r="CR46" s="190" t="s">
        <v>132</v>
      </c>
      <c r="CS46" s="190" t="s">
        <v>132</v>
      </c>
      <c r="CT46" s="190" t="s">
        <v>132</v>
      </c>
      <c r="CU46" s="190" t="s">
        <v>132</v>
      </c>
      <c r="CV46" s="190" t="s">
        <v>132</v>
      </c>
      <c r="CW46" s="190" t="s">
        <v>132</v>
      </c>
      <c r="CX46" s="190" t="s">
        <v>132</v>
      </c>
      <c r="CY46" s="190" t="s">
        <v>132</v>
      </c>
      <c r="CZ46" s="190" t="s">
        <v>132</v>
      </c>
      <c r="DA46" s="190" t="s">
        <v>132</v>
      </c>
      <c r="DB46" s="190" t="s">
        <v>132</v>
      </c>
      <c r="DC46" s="190" t="s">
        <v>132</v>
      </c>
      <c r="DD46" s="190" t="s">
        <v>132</v>
      </c>
      <c r="DE46" s="190" t="s">
        <v>132</v>
      </c>
      <c r="DF46" s="190" t="s">
        <v>132</v>
      </c>
      <c r="DG46" s="190" t="s">
        <v>132</v>
      </c>
      <c r="DH46" s="190" t="s">
        <v>132</v>
      </c>
    </row>
    <row r="47" spans="1:112">
      <c r="A47" s="150" t="s">
        <v>142</v>
      </c>
      <c r="B47" s="150">
        <v>5</v>
      </c>
      <c r="C47" s="150">
        <v>5</v>
      </c>
      <c r="D47" s="150" t="s">
        <v>233</v>
      </c>
      <c r="E47" s="150" t="s">
        <v>229</v>
      </c>
      <c r="F47" s="150">
        <v>70</v>
      </c>
      <c r="G47" s="150" t="s">
        <v>235</v>
      </c>
      <c r="H47" s="150" t="s">
        <v>136</v>
      </c>
      <c r="I47" s="150" t="s">
        <v>132</v>
      </c>
      <c r="J47" s="150" t="s">
        <v>132</v>
      </c>
      <c r="K47" s="150" t="s">
        <v>132</v>
      </c>
      <c r="L47" s="150" t="s">
        <v>284</v>
      </c>
      <c r="M47" s="156">
        <v>0</v>
      </c>
      <c r="N47" s="156">
        <v>11.93</v>
      </c>
      <c r="O47" s="150">
        <v>0</v>
      </c>
      <c r="P47" s="156">
        <v>6.3949599999999993</v>
      </c>
      <c r="Q47" s="150" t="s">
        <v>132</v>
      </c>
      <c r="R47" s="150" t="s">
        <v>132</v>
      </c>
      <c r="S47" s="150" t="s">
        <v>132</v>
      </c>
      <c r="T47" s="150" t="s">
        <v>132</v>
      </c>
      <c r="U47" s="150" t="s">
        <v>132</v>
      </c>
      <c r="V47" s="150" t="s">
        <v>132</v>
      </c>
      <c r="W47" s="150" t="s">
        <v>132</v>
      </c>
      <c r="X47" s="150" t="s">
        <v>132</v>
      </c>
      <c r="Y47" s="150" t="s">
        <v>132</v>
      </c>
      <c r="Z47" s="150" t="s">
        <v>132</v>
      </c>
      <c r="AA47" s="150" t="s">
        <v>132</v>
      </c>
      <c r="AB47" s="150" t="s">
        <v>132</v>
      </c>
      <c r="AC47" s="150" t="s">
        <v>132</v>
      </c>
      <c r="AD47" s="150" t="s">
        <v>132</v>
      </c>
      <c r="AE47" s="150" t="s">
        <v>132</v>
      </c>
      <c r="AF47" s="150" t="s">
        <v>132</v>
      </c>
      <c r="AG47" s="150" t="s">
        <v>132</v>
      </c>
      <c r="AH47" s="150" t="s">
        <v>132</v>
      </c>
      <c r="AI47" s="150" t="s">
        <v>132</v>
      </c>
      <c r="AJ47" s="150" t="s">
        <v>132</v>
      </c>
      <c r="AK47" s="150" t="s">
        <v>132</v>
      </c>
      <c r="AL47" s="150" t="s">
        <v>132</v>
      </c>
      <c r="AM47" s="150" t="s">
        <v>132</v>
      </c>
      <c r="AN47" s="150" t="s">
        <v>132</v>
      </c>
      <c r="AO47" s="150" t="s">
        <v>132</v>
      </c>
      <c r="AP47" s="150" t="s">
        <v>132</v>
      </c>
      <c r="AQ47" s="150" t="s">
        <v>132</v>
      </c>
      <c r="AR47" s="150" t="s">
        <v>132</v>
      </c>
      <c r="AS47" s="150" t="s">
        <v>132</v>
      </c>
      <c r="AT47" s="150" t="s">
        <v>132</v>
      </c>
      <c r="AU47" s="150" t="s">
        <v>132</v>
      </c>
      <c r="AV47" s="150" t="s">
        <v>132</v>
      </c>
      <c r="AW47" s="150" t="s">
        <v>132</v>
      </c>
      <c r="AX47" s="150" t="s">
        <v>132</v>
      </c>
      <c r="AY47" s="150" t="s">
        <v>132</v>
      </c>
      <c r="AZ47" s="150" t="s">
        <v>132</v>
      </c>
      <c r="BA47" s="150" t="s">
        <v>132</v>
      </c>
      <c r="BB47" s="150" t="s">
        <v>132</v>
      </c>
      <c r="BC47" s="150" t="s">
        <v>132</v>
      </c>
      <c r="BD47" s="150" t="s">
        <v>132</v>
      </c>
      <c r="BE47" s="150" t="s">
        <v>132</v>
      </c>
      <c r="BF47" s="150" t="s">
        <v>132</v>
      </c>
      <c r="BG47" s="150" t="s">
        <v>132</v>
      </c>
      <c r="BH47" s="150" t="s">
        <v>132</v>
      </c>
      <c r="BI47" s="150" t="s">
        <v>132</v>
      </c>
      <c r="BJ47" s="150" t="s">
        <v>132</v>
      </c>
      <c r="BK47" s="150" t="s">
        <v>132</v>
      </c>
      <c r="BL47" s="150" t="s">
        <v>132</v>
      </c>
      <c r="BM47" s="150" t="s">
        <v>132</v>
      </c>
      <c r="BN47" s="150" t="s">
        <v>132</v>
      </c>
      <c r="BO47" s="150" t="s">
        <v>132</v>
      </c>
      <c r="BP47" s="150" t="s">
        <v>132</v>
      </c>
      <c r="BQ47" s="150" t="s">
        <v>132</v>
      </c>
      <c r="BR47" s="150" t="s">
        <v>132</v>
      </c>
      <c r="BS47" s="150" t="s">
        <v>132</v>
      </c>
      <c r="BT47" s="150" t="s">
        <v>132</v>
      </c>
      <c r="BU47" s="150" t="s">
        <v>132</v>
      </c>
      <c r="BV47" s="150" t="s">
        <v>132</v>
      </c>
      <c r="BW47" s="150" t="s">
        <v>132</v>
      </c>
      <c r="BX47" s="150" t="s">
        <v>132</v>
      </c>
      <c r="BY47" s="150" t="s">
        <v>132</v>
      </c>
      <c r="BZ47" s="150" t="s">
        <v>132</v>
      </c>
      <c r="CA47" s="150" t="s">
        <v>132</v>
      </c>
      <c r="CB47" s="150" t="s">
        <v>132</v>
      </c>
      <c r="CC47" s="190" t="s">
        <v>132</v>
      </c>
      <c r="CD47" s="190" t="s">
        <v>132</v>
      </c>
      <c r="CE47" s="190" t="s">
        <v>132</v>
      </c>
      <c r="CF47" s="190" t="s">
        <v>132</v>
      </c>
      <c r="CG47" s="190" t="s">
        <v>132</v>
      </c>
      <c r="CH47" s="190" t="s">
        <v>132</v>
      </c>
      <c r="CI47" s="190" t="s">
        <v>132</v>
      </c>
      <c r="CJ47" s="190" t="s">
        <v>132</v>
      </c>
      <c r="CK47" s="190" t="s">
        <v>132</v>
      </c>
      <c r="CL47" s="190" t="s">
        <v>132</v>
      </c>
      <c r="CM47" s="190" t="s">
        <v>132</v>
      </c>
      <c r="CN47" s="190" t="s">
        <v>132</v>
      </c>
      <c r="CO47" s="190" t="s">
        <v>132</v>
      </c>
      <c r="CP47" s="190" t="s">
        <v>132</v>
      </c>
      <c r="CQ47" s="190" t="s">
        <v>132</v>
      </c>
      <c r="CR47" s="190" t="s">
        <v>132</v>
      </c>
      <c r="CS47" s="190" t="s">
        <v>132</v>
      </c>
      <c r="CT47" s="190" t="s">
        <v>132</v>
      </c>
      <c r="CU47" s="190" t="s">
        <v>132</v>
      </c>
      <c r="CV47" s="190" t="s">
        <v>132</v>
      </c>
      <c r="CW47" s="190" t="s">
        <v>132</v>
      </c>
      <c r="CX47" s="190" t="s">
        <v>132</v>
      </c>
      <c r="CY47" s="190" t="s">
        <v>132</v>
      </c>
      <c r="CZ47" s="190" t="s">
        <v>132</v>
      </c>
      <c r="DA47" s="190" t="s">
        <v>132</v>
      </c>
      <c r="DB47" s="190" t="s">
        <v>132</v>
      </c>
      <c r="DC47" s="190" t="s">
        <v>132</v>
      </c>
      <c r="DD47" s="190" t="s">
        <v>132</v>
      </c>
      <c r="DE47" s="190" t="s">
        <v>132</v>
      </c>
      <c r="DF47" s="190" t="s">
        <v>132</v>
      </c>
      <c r="DG47" s="190" t="s">
        <v>132</v>
      </c>
      <c r="DH47" s="190" t="s">
        <v>132</v>
      </c>
    </row>
    <row r="48" spans="1:112">
      <c r="A48" s="150" t="s">
        <v>142</v>
      </c>
      <c r="B48" s="150">
        <v>5</v>
      </c>
      <c r="C48" s="150">
        <v>5</v>
      </c>
      <c r="D48" s="150" t="s">
        <v>233</v>
      </c>
      <c r="E48" s="150" t="s">
        <v>229</v>
      </c>
      <c r="F48" s="150">
        <v>112</v>
      </c>
      <c r="G48" s="150" t="s">
        <v>235</v>
      </c>
      <c r="H48" s="150" t="s">
        <v>136</v>
      </c>
      <c r="I48" s="150" t="s">
        <v>132</v>
      </c>
      <c r="J48" s="150" t="s">
        <v>132</v>
      </c>
      <c r="K48" s="150" t="s">
        <v>132</v>
      </c>
      <c r="L48" s="150" t="s">
        <v>284</v>
      </c>
      <c r="M48" s="156">
        <v>0</v>
      </c>
      <c r="N48" s="156">
        <v>13.18</v>
      </c>
      <c r="O48" s="150">
        <v>0</v>
      </c>
      <c r="P48" s="156">
        <v>1.3863200000000024</v>
      </c>
      <c r="Q48" s="150" t="s">
        <v>132</v>
      </c>
      <c r="R48" s="150" t="s">
        <v>132</v>
      </c>
      <c r="S48" s="150" t="s">
        <v>132</v>
      </c>
      <c r="T48" s="150" t="s">
        <v>132</v>
      </c>
      <c r="U48" s="150" t="s">
        <v>132</v>
      </c>
      <c r="V48" s="150" t="s">
        <v>132</v>
      </c>
      <c r="W48" s="150" t="s">
        <v>132</v>
      </c>
      <c r="X48" s="150" t="s">
        <v>132</v>
      </c>
      <c r="Y48" s="150" t="s">
        <v>132</v>
      </c>
      <c r="Z48" s="150" t="s">
        <v>132</v>
      </c>
      <c r="AA48" s="150" t="s">
        <v>132</v>
      </c>
      <c r="AB48" s="150" t="s">
        <v>132</v>
      </c>
      <c r="AC48" s="150" t="s">
        <v>132</v>
      </c>
      <c r="AD48" s="150" t="s">
        <v>132</v>
      </c>
      <c r="AE48" s="150" t="s">
        <v>132</v>
      </c>
      <c r="AF48" s="150" t="s">
        <v>132</v>
      </c>
      <c r="AG48" s="150" t="s">
        <v>132</v>
      </c>
      <c r="AH48" s="150" t="s">
        <v>132</v>
      </c>
      <c r="AI48" s="150" t="s">
        <v>132</v>
      </c>
      <c r="AJ48" s="150" t="s">
        <v>132</v>
      </c>
      <c r="AK48" s="150" t="s">
        <v>132</v>
      </c>
      <c r="AL48" s="150" t="s">
        <v>132</v>
      </c>
      <c r="AM48" s="150" t="s">
        <v>132</v>
      </c>
      <c r="AN48" s="150" t="s">
        <v>132</v>
      </c>
      <c r="AO48" s="150" t="s">
        <v>132</v>
      </c>
      <c r="AP48" s="150" t="s">
        <v>132</v>
      </c>
      <c r="AQ48" s="150" t="s">
        <v>132</v>
      </c>
      <c r="AR48" s="150" t="s">
        <v>132</v>
      </c>
      <c r="AS48" s="150" t="s">
        <v>132</v>
      </c>
      <c r="AT48" s="150" t="s">
        <v>132</v>
      </c>
      <c r="AU48" s="150" t="s">
        <v>132</v>
      </c>
      <c r="AV48" s="150" t="s">
        <v>132</v>
      </c>
      <c r="AW48" s="150" t="s">
        <v>132</v>
      </c>
      <c r="AX48" s="150" t="s">
        <v>132</v>
      </c>
      <c r="AY48" s="150" t="s">
        <v>132</v>
      </c>
      <c r="AZ48" s="150" t="s">
        <v>132</v>
      </c>
      <c r="BA48" s="150" t="s">
        <v>132</v>
      </c>
      <c r="BB48" s="150" t="s">
        <v>132</v>
      </c>
      <c r="BC48" s="150" t="s">
        <v>132</v>
      </c>
      <c r="BD48" s="150" t="s">
        <v>132</v>
      </c>
      <c r="BE48" s="150" t="s">
        <v>132</v>
      </c>
      <c r="BF48" s="150" t="s">
        <v>132</v>
      </c>
      <c r="BG48" s="150" t="s">
        <v>132</v>
      </c>
      <c r="BH48" s="150" t="s">
        <v>132</v>
      </c>
      <c r="BI48" s="150" t="s">
        <v>132</v>
      </c>
      <c r="BJ48" s="150" t="s">
        <v>132</v>
      </c>
      <c r="BK48" s="150" t="s">
        <v>132</v>
      </c>
      <c r="BL48" s="150" t="s">
        <v>132</v>
      </c>
      <c r="BM48" s="150" t="s">
        <v>132</v>
      </c>
      <c r="BN48" s="150" t="s">
        <v>132</v>
      </c>
      <c r="BO48" s="150" t="s">
        <v>132</v>
      </c>
      <c r="BP48" s="150" t="s">
        <v>132</v>
      </c>
      <c r="BQ48" s="150" t="s">
        <v>132</v>
      </c>
      <c r="BR48" s="150" t="s">
        <v>132</v>
      </c>
      <c r="BS48" s="150" t="s">
        <v>132</v>
      </c>
      <c r="BT48" s="150" t="s">
        <v>132</v>
      </c>
      <c r="BU48" s="150" t="s">
        <v>132</v>
      </c>
      <c r="BV48" s="150" t="s">
        <v>132</v>
      </c>
      <c r="BW48" s="150" t="s">
        <v>132</v>
      </c>
      <c r="BX48" s="150" t="s">
        <v>132</v>
      </c>
      <c r="BY48" s="150" t="s">
        <v>132</v>
      </c>
      <c r="BZ48" s="150" t="s">
        <v>132</v>
      </c>
      <c r="CA48" s="150" t="s">
        <v>132</v>
      </c>
      <c r="CB48" s="150" t="s">
        <v>132</v>
      </c>
      <c r="CC48" s="190" t="s">
        <v>132</v>
      </c>
      <c r="CD48" s="190" t="s">
        <v>132</v>
      </c>
      <c r="CE48" s="190" t="s">
        <v>132</v>
      </c>
      <c r="CF48" s="190" t="s">
        <v>132</v>
      </c>
      <c r="CG48" s="190" t="s">
        <v>132</v>
      </c>
      <c r="CH48" s="190" t="s">
        <v>132</v>
      </c>
      <c r="CI48" s="190" t="s">
        <v>132</v>
      </c>
      <c r="CJ48" s="190" t="s">
        <v>132</v>
      </c>
      <c r="CK48" s="190" t="s">
        <v>132</v>
      </c>
      <c r="CL48" s="190" t="s">
        <v>132</v>
      </c>
      <c r="CM48" s="190" t="s">
        <v>132</v>
      </c>
      <c r="CN48" s="190" t="s">
        <v>132</v>
      </c>
      <c r="CO48" s="190" t="s">
        <v>132</v>
      </c>
      <c r="CP48" s="190" t="s">
        <v>132</v>
      </c>
      <c r="CQ48" s="190" t="s">
        <v>132</v>
      </c>
      <c r="CR48" s="190" t="s">
        <v>132</v>
      </c>
      <c r="CS48" s="190" t="s">
        <v>132</v>
      </c>
      <c r="CT48" s="190" t="s">
        <v>132</v>
      </c>
      <c r="CU48" s="190" t="s">
        <v>132</v>
      </c>
      <c r="CV48" s="190" t="s">
        <v>132</v>
      </c>
      <c r="CW48" s="190" t="s">
        <v>132</v>
      </c>
      <c r="CX48" s="190" t="s">
        <v>132</v>
      </c>
      <c r="CY48" s="190" t="s">
        <v>132</v>
      </c>
      <c r="CZ48" s="190" t="s">
        <v>132</v>
      </c>
      <c r="DA48" s="190" t="s">
        <v>132</v>
      </c>
      <c r="DB48" s="190" t="s">
        <v>132</v>
      </c>
      <c r="DC48" s="190" t="s">
        <v>132</v>
      </c>
      <c r="DD48" s="190" t="s">
        <v>132</v>
      </c>
      <c r="DE48" s="190" t="s">
        <v>132</v>
      </c>
      <c r="DF48" s="190" t="s">
        <v>132</v>
      </c>
      <c r="DG48" s="190" t="s">
        <v>132</v>
      </c>
      <c r="DH48" s="190" t="s">
        <v>132</v>
      </c>
    </row>
    <row r="49" spans="1:112">
      <c r="A49" s="150" t="s">
        <v>142</v>
      </c>
      <c r="B49" s="150">
        <v>3</v>
      </c>
      <c r="C49" s="150">
        <v>3</v>
      </c>
      <c r="D49" s="150" t="s">
        <v>233</v>
      </c>
      <c r="E49" s="150" t="s">
        <v>229</v>
      </c>
      <c r="F49" s="150">
        <v>28</v>
      </c>
      <c r="G49" s="150" t="s">
        <v>234</v>
      </c>
      <c r="H49" s="150" t="s">
        <v>136</v>
      </c>
      <c r="I49" s="150" t="s">
        <v>132</v>
      </c>
      <c r="J49" s="150" t="s">
        <v>132</v>
      </c>
      <c r="K49" s="150" t="s">
        <v>132</v>
      </c>
      <c r="L49" s="150" t="s">
        <v>283</v>
      </c>
      <c r="M49" s="156">
        <v>14.626899999999999</v>
      </c>
      <c r="N49" s="156">
        <v>20.1493</v>
      </c>
      <c r="O49" s="156">
        <v>10.586562000000004</v>
      </c>
      <c r="P49" s="156">
        <v>6.4551490000000014</v>
      </c>
      <c r="Q49" s="150" t="s">
        <v>132</v>
      </c>
      <c r="R49" s="150" t="s">
        <v>132</v>
      </c>
      <c r="S49" s="150" t="s">
        <v>132</v>
      </c>
      <c r="T49" s="150" t="s">
        <v>132</v>
      </c>
      <c r="U49" s="150" t="s">
        <v>132</v>
      </c>
      <c r="V49" s="150" t="s">
        <v>132</v>
      </c>
      <c r="W49" s="150" t="s">
        <v>132</v>
      </c>
      <c r="X49" s="150" t="s">
        <v>132</v>
      </c>
      <c r="Y49" s="150" t="s">
        <v>132</v>
      </c>
      <c r="Z49" s="150" t="s">
        <v>132</v>
      </c>
      <c r="AA49" s="150" t="s">
        <v>132</v>
      </c>
      <c r="AB49" s="150" t="s">
        <v>132</v>
      </c>
      <c r="AC49" s="150" t="s">
        <v>132</v>
      </c>
      <c r="AD49" s="150" t="s">
        <v>132</v>
      </c>
      <c r="AE49" s="150" t="s">
        <v>132</v>
      </c>
      <c r="AF49" s="150" t="s">
        <v>132</v>
      </c>
      <c r="AG49" s="150" t="s">
        <v>132</v>
      </c>
      <c r="AH49" s="150" t="s">
        <v>132</v>
      </c>
      <c r="AI49" s="150" t="s">
        <v>132</v>
      </c>
      <c r="AJ49" s="150" t="s">
        <v>132</v>
      </c>
      <c r="AK49" s="150" t="s">
        <v>132</v>
      </c>
      <c r="AL49" s="150" t="s">
        <v>132</v>
      </c>
      <c r="AM49" s="150" t="s">
        <v>132</v>
      </c>
      <c r="AN49" s="150" t="s">
        <v>132</v>
      </c>
      <c r="AO49" s="150" t="s">
        <v>132</v>
      </c>
      <c r="AP49" s="150" t="s">
        <v>132</v>
      </c>
      <c r="AQ49" s="150" t="s">
        <v>132</v>
      </c>
      <c r="AR49" s="150" t="s">
        <v>132</v>
      </c>
      <c r="AS49" s="150" t="s">
        <v>132</v>
      </c>
      <c r="AT49" s="150" t="s">
        <v>132</v>
      </c>
      <c r="AU49" s="150" t="s">
        <v>132</v>
      </c>
      <c r="AV49" s="150" t="s">
        <v>132</v>
      </c>
      <c r="AW49" s="150" t="s">
        <v>132</v>
      </c>
      <c r="AX49" s="150" t="s">
        <v>132</v>
      </c>
      <c r="AY49" s="150" t="s">
        <v>132</v>
      </c>
      <c r="AZ49" s="150" t="s">
        <v>132</v>
      </c>
      <c r="BA49" s="150" t="s">
        <v>132</v>
      </c>
      <c r="BB49" s="150" t="s">
        <v>132</v>
      </c>
      <c r="BC49" s="150" t="s">
        <v>132</v>
      </c>
      <c r="BD49" s="150" t="s">
        <v>132</v>
      </c>
      <c r="BE49" s="150" t="s">
        <v>132</v>
      </c>
      <c r="BF49" s="150" t="s">
        <v>132</v>
      </c>
      <c r="BG49" s="150" t="s">
        <v>132</v>
      </c>
      <c r="BH49" s="150" t="s">
        <v>132</v>
      </c>
      <c r="BI49" s="150" t="s">
        <v>132</v>
      </c>
      <c r="BJ49" s="150" t="s">
        <v>132</v>
      </c>
      <c r="BK49" s="150" t="s">
        <v>132</v>
      </c>
      <c r="BL49" s="150" t="s">
        <v>132</v>
      </c>
      <c r="BM49" s="150" t="s">
        <v>132</v>
      </c>
      <c r="BN49" s="150" t="s">
        <v>132</v>
      </c>
      <c r="BO49" s="150" t="s">
        <v>132</v>
      </c>
      <c r="BP49" s="150" t="s">
        <v>132</v>
      </c>
      <c r="BQ49" s="150" t="s">
        <v>132</v>
      </c>
      <c r="BR49" s="150" t="s">
        <v>132</v>
      </c>
      <c r="BS49" s="150" t="s">
        <v>132</v>
      </c>
      <c r="BT49" s="150" t="s">
        <v>132</v>
      </c>
      <c r="BU49" s="150" t="s">
        <v>132</v>
      </c>
      <c r="BV49" s="150" t="s">
        <v>132</v>
      </c>
      <c r="BW49" s="150" t="s">
        <v>132</v>
      </c>
      <c r="BX49" s="150" t="s">
        <v>132</v>
      </c>
      <c r="BY49" s="150" t="s">
        <v>132</v>
      </c>
      <c r="BZ49" s="150" t="s">
        <v>132</v>
      </c>
      <c r="CA49" s="150" t="s">
        <v>132</v>
      </c>
      <c r="CB49" s="150" t="s">
        <v>132</v>
      </c>
      <c r="CC49" s="190" t="s">
        <v>132</v>
      </c>
      <c r="CD49" s="190" t="s">
        <v>132</v>
      </c>
      <c r="CE49" s="190" t="s">
        <v>132</v>
      </c>
      <c r="CF49" s="190" t="s">
        <v>132</v>
      </c>
      <c r="CG49" s="190" t="s">
        <v>132</v>
      </c>
      <c r="CH49" s="190" t="s">
        <v>132</v>
      </c>
      <c r="CI49" s="190" t="s">
        <v>132</v>
      </c>
      <c r="CJ49" s="190" t="s">
        <v>132</v>
      </c>
      <c r="CK49" s="190" t="s">
        <v>132</v>
      </c>
      <c r="CL49" s="190" t="s">
        <v>132</v>
      </c>
      <c r="CM49" s="190" t="s">
        <v>132</v>
      </c>
      <c r="CN49" s="190" t="s">
        <v>132</v>
      </c>
      <c r="CO49" s="190" t="s">
        <v>132</v>
      </c>
      <c r="CP49" s="190" t="s">
        <v>132</v>
      </c>
      <c r="CQ49" s="190" t="s">
        <v>132</v>
      </c>
      <c r="CR49" s="190" t="s">
        <v>132</v>
      </c>
      <c r="CS49" s="190" t="s">
        <v>132</v>
      </c>
      <c r="CT49" s="190" t="s">
        <v>132</v>
      </c>
      <c r="CU49" s="190" t="s">
        <v>132</v>
      </c>
      <c r="CV49" s="190" t="s">
        <v>132</v>
      </c>
      <c r="CW49" s="190" t="s">
        <v>132</v>
      </c>
      <c r="CX49" s="190" t="s">
        <v>132</v>
      </c>
      <c r="CY49" s="190" t="s">
        <v>132</v>
      </c>
      <c r="CZ49" s="190" t="s">
        <v>132</v>
      </c>
      <c r="DA49" s="190" t="s">
        <v>132</v>
      </c>
      <c r="DB49" s="190" t="s">
        <v>132</v>
      </c>
      <c r="DC49" s="190" t="s">
        <v>132</v>
      </c>
      <c r="DD49" s="190" t="s">
        <v>132</v>
      </c>
      <c r="DE49" s="190" t="s">
        <v>132</v>
      </c>
      <c r="DF49" s="190" t="s">
        <v>132</v>
      </c>
      <c r="DG49" s="190" t="s">
        <v>132</v>
      </c>
      <c r="DH49" s="190" t="s">
        <v>132</v>
      </c>
    </row>
    <row r="50" spans="1:112">
      <c r="A50" s="150" t="s">
        <v>142</v>
      </c>
      <c r="B50" s="150">
        <v>3</v>
      </c>
      <c r="C50" s="150">
        <v>3</v>
      </c>
      <c r="D50" s="150" t="s">
        <v>233</v>
      </c>
      <c r="E50" s="150" t="s">
        <v>229</v>
      </c>
      <c r="F50" s="150">
        <v>70</v>
      </c>
      <c r="G50" s="150" t="s">
        <v>235</v>
      </c>
      <c r="H50" s="150" t="s">
        <v>136</v>
      </c>
      <c r="I50" s="150" t="s">
        <v>132</v>
      </c>
      <c r="J50" s="150" t="s">
        <v>132</v>
      </c>
      <c r="K50" s="150" t="s">
        <v>132</v>
      </c>
      <c r="L50" s="150" t="s">
        <v>283</v>
      </c>
      <c r="M50" s="156">
        <v>6.8657000000000004</v>
      </c>
      <c r="N50" s="156">
        <v>31.940300000000001</v>
      </c>
      <c r="O50" s="156">
        <v>2.0656199999999982</v>
      </c>
      <c r="P50" s="156">
        <v>11.361082999999994</v>
      </c>
      <c r="Q50" s="150" t="s">
        <v>132</v>
      </c>
      <c r="R50" s="150" t="s">
        <v>132</v>
      </c>
      <c r="S50" s="150" t="s">
        <v>132</v>
      </c>
      <c r="T50" s="150" t="s">
        <v>132</v>
      </c>
      <c r="U50" s="150" t="s">
        <v>132</v>
      </c>
      <c r="V50" s="150" t="s">
        <v>132</v>
      </c>
      <c r="W50" s="150" t="s">
        <v>132</v>
      </c>
      <c r="X50" s="150" t="s">
        <v>132</v>
      </c>
      <c r="Y50" s="150" t="s">
        <v>132</v>
      </c>
      <c r="Z50" s="150" t="s">
        <v>132</v>
      </c>
      <c r="AA50" s="150" t="s">
        <v>132</v>
      </c>
      <c r="AB50" s="150" t="s">
        <v>132</v>
      </c>
      <c r="AC50" s="150" t="s">
        <v>132</v>
      </c>
      <c r="AD50" s="150" t="s">
        <v>132</v>
      </c>
      <c r="AE50" s="150" t="s">
        <v>132</v>
      </c>
      <c r="AF50" s="150" t="s">
        <v>132</v>
      </c>
      <c r="AG50" s="150" t="s">
        <v>132</v>
      </c>
      <c r="AH50" s="150" t="s">
        <v>132</v>
      </c>
      <c r="AI50" s="150" t="s">
        <v>132</v>
      </c>
      <c r="AJ50" s="150" t="s">
        <v>132</v>
      </c>
      <c r="AK50" s="150" t="s">
        <v>132</v>
      </c>
      <c r="AL50" s="150" t="s">
        <v>132</v>
      </c>
      <c r="AM50" s="150" t="s">
        <v>132</v>
      </c>
      <c r="AN50" s="150" t="s">
        <v>132</v>
      </c>
      <c r="AO50" s="150" t="s">
        <v>132</v>
      </c>
      <c r="AP50" s="150" t="s">
        <v>132</v>
      </c>
      <c r="AQ50" s="150" t="s">
        <v>132</v>
      </c>
      <c r="AR50" s="150" t="s">
        <v>132</v>
      </c>
      <c r="AS50" s="150" t="s">
        <v>132</v>
      </c>
      <c r="AT50" s="150" t="s">
        <v>132</v>
      </c>
      <c r="AU50" s="150" t="s">
        <v>132</v>
      </c>
      <c r="AV50" s="150" t="s">
        <v>132</v>
      </c>
      <c r="AW50" s="150" t="s">
        <v>132</v>
      </c>
      <c r="AX50" s="150" t="s">
        <v>132</v>
      </c>
      <c r="AY50" s="150" t="s">
        <v>132</v>
      </c>
      <c r="AZ50" s="150" t="s">
        <v>132</v>
      </c>
      <c r="BA50" s="150" t="s">
        <v>132</v>
      </c>
      <c r="BB50" s="150" t="s">
        <v>132</v>
      </c>
      <c r="BC50" s="150" t="s">
        <v>132</v>
      </c>
      <c r="BD50" s="150" t="s">
        <v>132</v>
      </c>
      <c r="BE50" s="150" t="s">
        <v>132</v>
      </c>
      <c r="BF50" s="150" t="s">
        <v>132</v>
      </c>
      <c r="BG50" s="150" t="s">
        <v>132</v>
      </c>
      <c r="BH50" s="150" t="s">
        <v>132</v>
      </c>
      <c r="BI50" s="150" t="s">
        <v>132</v>
      </c>
      <c r="BJ50" s="150" t="s">
        <v>132</v>
      </c>
      <c r="BK50" s="150" t="s">
        <v>132</v>
      </c>
      <c r="BL50" s="150" t="s">
        <v>132</v>
      </c>
      <c r="BM50" s="150" t="s">
        <v>132</v>
      </c>
      <c r="BN50" s="150" t="s">
        <v>132</v>
      </c>
      <c r="BO50" s="150" t="s">
        <v>132</v>
      </c>
      <c r="BP50" s="150" t="s">
        <v>132</v>
      </c>
      <c r="BQ50" s="150" t="s">
        <v>132</v>
      </c>
      <c r="BR50" s="150" t="s">
        <v>132</v>
      </c>
      <c r="BS50" s="150" t="s">
        <v>132</v>
      </c>
      <c r="BT50" s="150" t="s">
        <v>132</v>
      </c>
      <c r="BU50" s="150" t="s">
        <v>132</v>
      </c>
      <c r="BV50" s="150" t="s">
        <v>132</v>
      </c>
      <c r="BW50" s="150" t="s">
        <v>132</v>
      </c>
      <c r="BX50" s="150" t="s">
        <v>132</v>
      </c>
      <c r="BY50" s="150" t="s">
        <v>132</v>
      </c>
      <c r="BZ50" s="150" t="s">
        <v>132</v>
      </c>
      <c r="CA50" s="150" t="s">
        <v>132</v>
      </c>
      <c r="CB50" s="150" t="s">
        <v>132</v>
      </c>
      <c r="CC50" s="190" t="s">
        <v>132</v>
      </c>
      <c r="CD50" s="190" t="s">
        <v>132</v>
      </c>
      <c r="CE50" s="190" t="s">
        <v>132</v>
      </c>
      <c r="CF50" s="190" t="s">
        <v>132</v>
      </c>
      <c r="CG50" s="190" t="s">
        <v>132</v>
      </c>
      <c r="CH50" s="190" t="s">
        <v>132</v>
      </c>
      <c r="CI50" s="190" t="s">
        <v>132</v>
      </c>
      <c r="CJ50" s="190" t="s">
        <v>132</v>
      </c>
      <c r="CK50" s="190" t="s">
        <v>132</v>
      </c>
      <c r="CL50" s="190" t="s">
        <v>132</v>
      </c>
      <c r="CM50" s="190" t="s">
        <v>132</v>
      </c>
      <c r="CN50" s="190" t="s">
        <v>132</v>
      </c>
      <c r="CO50" s="190" t="s">
        <v>132</v>
      </c>
      <c r="CP50" s="190" t="s">
        <v>132</v>
      </c>
      <c r="CQ50" s="190" t="s">
        <v>132</v>
      </c>
      <c r="CR50" s="190" t="s">
        <v>132</v>
      </c>
      <c r="CS50" s="190" t="s">
        <v>132</v>
      </c>
      <c r="CT50" s="190" t="s">
        <v>132</v>
      </c>
      <c r="CU50" s="190" t="s">
        <v>132</v>
      </c>
      <c r="CV50" s="190" t="s">
        <v>132</v>
      </c>
      <c r="CW50" s="190" t="s">
        <v>132</v>
      </c>
      <c r="CX50" s="190" t="s">
        <v>132</v>
      </c>
      <c r="CY50" s="190" t="s">
        <v>132</v>
      </c>
      <c r="CZ50" s="190" t="s">
        <v>132</v>
      </c>
      <c r="DA50" s="190" t="s">
        <v>132</v>
      </c>
      <c r="DB50" s="190" t="s">
        <v>132</v>
      </c>
      <c r="DC50" s="190" t="s">
        <v>132</v>
      </c>
      <c r="DD50" s="190" t="s">
        <v>132</v>
      </c>
      <c r="DE50" s="190" t="s">
        <v>132</v>
      </c>
      <c r="DF50" s="190" t="s">
        <v>132</v>
      </c>
      <c r="DG50" s="190" t="s">
        <v>132</v>
      </c>
      <c r="DH50" s="190" t="s">
        <v>132</v>
      </c>
    </row>
    <row r="51" spans="1:112">
      <c r="A51" s="150" t="s">
        <v>142</v>
      </c>
      <c r="B51" s="150">
        <v>5</v>
      </c>
      <c r="C51" s="150">
        <v>5</v>
      </c>
      <c r="D51" s="150" t="s">
        <v>233</v>
      </c>
      <c r="E51" s="150" t="s">
        <v>229</v>
      </c>
      <c r="F51" s="150">
        <v>126</v>
      </c>
      <c r="G51" s="150" t="s">
        <v>235</v>
      </c>
      <c r="H51" s="150" t="s">
        <v>136</v>
      </c>
      <c r="I51" s="150" t="s">
        <v>132</v>
      </c>
      <c r="J51" s="150" t="s">
        <v>132</v>
      </c>
      <c r="K51" s="150" t="s">
        <v>132</v>
      </c>
      <c r="L51" s="150" t="s">
        <v>283</v>
      </c>
      <c r="M51" s="156">
        <v>14.1791</v>
      </c>
      <c r="N51" s="156">
        <v>64.477599999999995</v>
      </c>
      <c r="O51" s="156">
        <v>5.005956799999999</v>
      </c>
      <c r="P51" s="156">
        <v>26.03106480000001</v>
      </c>
      <c r="Q51" s="150" t="s">
        <v>132</v>
      </c>
      <c r="R51" s="150" t="s">
        <v>132</v>
      </c>
      <c r="S51" s="150" t="s">
        <v>132</v>
      </c>
      <c r="T51" s="150" t="s">
        <v>132</v>
      </c>
      <c r="U51" s="150" t="s">
        <v>132</v>
      </c>
      <c r="V51" s="150" t="s">
        <v>132</v>
      </c>
      <c r="W51" s="150" t="s">
        <v>132</v>
      </c>
      <c r="X51" s="150" t="s">
        <v>132</v>
      </c>
      <c r="Y51" s="150" t="s">
        <v>132</v>
      </c>
      <c r="Z51" s="150" t="s">
        <v>132</v>
      </c>
      <c r="AA51" s="150" t="s">
        <v>132</v>
      </c>
      <c r="AB51" s="150" t="s">
        <v>132</v>
      </c>
      <c r="AC51" s="150" t="s">
        <v>132</v>
      </c>
      <c r="AD51" s="150" t="s">
        <v>132</v>
      </c>
      <c r="AE51" s="150" t="s">
        <v>132</v>
      </c>
      <c r="AF51" s="150" t="s">
        <v>132</v>
      </c>
      <c r="AG51" s="150" t="s">
        <v>132</v>
      </c>
      <c r="AH51" s="150" t="s">
        <v>132</v>
      </c>
      <c r="AI51" s="150" t="s">
        <v>132</v>
      </c>
      <c r="AJ51" s="150" t="s">
        <v>132</v>
      </c>
      <c r="AK51" s="150" t="s">
        <v>132</v>
      </c>
      <c r="AL51" s="150" t="s">
        <v>132</v>
      </c>
      <c r="AM51" s="150" t="s">
        <v>132</v>
      </c>
      <c r="AN51" s="150" t="s">
        <v>132</v>
      </c>
      <c r="AO51" s="150" t="s">
        <v>132</v>
      </c>
      <c r="AP51" s="150" t="s">
        <v>132</v>
      </c>
      <c r="AQ51" s="150" t="s">
        <v>132</v>
      </c>
      <c r="AR51" s="150" t="s">
        <v>132</v>
      </c>
      <c r="AS51" s="150" t="s">
        <v>132</v>
      </c>
      <c r="AT51" s="150" t="s">
        <v>132</v>
      </c>
      <c r="AU51" s="150" t="s">
        <v>132</v>
      </c>
      <c r="AV51" s="150" t="s">
        <v>132</v>
      </c>
      <c r="AW51" s="150" t="s">
        <v>132</v>
      </c>
      <c r="AX51" s="150" t="s">
        <v>132</v>
      </c>
      <c r="AY51" s="150" t="s">
        <v>132</v>
      </c>
      <c r="AZ51" s="150" t="s">
        <v>132</v>
      </c>
      <c r="BA51" s="150" t="s">
        <v>132</v>
      </c>
      <c r="BB51" s="150" t="s">
        <v>132</v>
      </c>
      <c r="BC51" s="150" t="s">
        <v>132</v>
      </c>
      <c r="BD51" s="150" t="s">
        <v>132</v>
      </c>
      <c r="BE51" s="150" t="s">
        <v>132</v>
      </c>
      <c r="BF51" s="150" t="s">
        <v>132</v>
      </c>
      <c r="BG51" s="150" t="s">
        <v>132</v>
      </c>
      <c r="BH51" s="150" t="s">
        <v>132</v>
      </c>
      <c r="BI51" s="150" t="s">
        <v>132</v>
      </c>
      <c r="BJ51" s="150" t="s">
        <v>132</v>
      </c>
      <c r="BK51" s="150" t="s">
        <v>132</v>
      </c>
      <c r="BL51" s="150" t="s">
        <v>132</v>
      </c>
      <c r="BM51" s="150" t="s">
        <v>132</v>
      </c>
      <c r="BN51" s="150" t="s">
        <v>132</v>
      </c>
      <c r="BO51" s="150" t="s">
        <v>132</v>
      </c>
      <c r="BP51" s="150" t="s">
        <v>132</v>
      </c>
      <c r="BQ51" s="150" t="s">
        <v>132</v>
      </c>
      <c r="BR51" s="150" t="s">
        <v>132</v>
      </c>
      <c r="BS51" s="150" t="s">
        <v>132</v>
      </c>
      <c r="BT51" s="150" t="s">
        <v>132</v>
      </c>
      <c r="BU51" s="150" t="s">
        <v>132</v>
      </c>
      <c r="BV51" s="150" t="s">
        <v>132</v>
      </c>
      <c r="BW51" s="150" t="s">
        <v>132</v>
      </c>
      <c r="BX51" s="150" t="s">
        <v>132</v>
      </c>
      <c r="BY51" s="150" t="s">
        <v>132</v>
      </c>
      <c r="BZ51" s="150" t="s">
        <v>132</v>
      </c>
      <c r="CA51" s="150" t="s">
        <v>132</v>
      </c>
      <c r="CB51" s="150" t="s">
        <v>132</v>
      </c>
      <c r="CC51" s="190" t="s">
        <v>132</v>
      </c>
      <c r="CD51" s="190" t="s">
        <v>132</v>
      </c>
      <c r="CE51" s="190" t="s">
        <v>132</v>
      </c>
      <c r="CF51" s="190" t="s">
        <v>132</v>
      </c>
      <c r="CG51" s="190" t="s">
        <v>132</v>
      </c>
      <c r="CH51" s="190" t="s">
        <v>132</v>
      </c>
      <c r="CI51" s="190" t="s">
        <v>132</v>
      </c>
      <c r="CJ51" s="190" t="s">
        <v>132</v>
      </c>
      <c r="CK51" s="190" t="s">
        <v>132</v>
      </c>
      <c r="CL51" s="190" t="s">
        <v>132</v>
      </c>
      <c r="CM51" s="190" t="s">
        <v>132</v>
      </c>
      <c r="CN51" s="190" t="s">
        <v>132</v>
      </c>
      <c r="CO51" s="190" t="s">
        <v>132</v>
      </c>
      <c r="CP51" s="190" t="s">
        <v>132</v>
      </c>
      <c r="CQ51" s="190" t="s">
        <v>132</v>
      </c>
      <c r="CR51" s="190" t="s">
        <v>132</v>
      </c>
      <c r="CS51" s="190" t="s">
        <v>132</v>
      </c>
      <c r="CT51" s="190" t="s">
        <v>132</v>
      </c>
      <c r="CU51" s="190" t="s">
        <v>132</v>
      </c>
      <c r="CV51" s="190" t="s">
        <v>132</v>
      </c>
      <c r="CW51" s="190" t="s">
        <v>132</v>
      </c>
      <c r="CX51" s="190" t="s">
        <v>132</v>
      </c>
      <c r="CY51" s="190" t="s">
        <v>132</v>
      </c>
      <c r="CZ51" s="190" t="s">
        <v>132</v>
      </c>
      <c r="DA51" s="190" t="s">
        <v>132</v>
      </c>
      <c r="DB51" s="190" t="s">
        <v>132</v>
      </c>
      <c r="DC51" s="190" t="s">
        <v>132</v>
      </c>
      <c r="DD51" s="190" t="s">
        <v>132</v>
      </c>
      <c r="DE51" s="190" t="s">
        <v>132</v>
      </c>
      <c r="DF51" s="190" t="s">
        <v>132</v>
      </c>
      <c r="DG51" s="190" t="s">
        <v>132</v>
      </c>
      <c r="DH51" s="190" t="s">
        <v>132</v>
      </c>
    </row>
    <row r="52" spans="1:112">
      <c r="A52" s="150" t="s">
        <v>142</v>
      </c>
      <c r="B52" s="150">
        <v>3</v>
      </c>
      <c r="C52" s="150">
        <v>3</v>
      </c>
      <c r="D52" s="150" t="s">
        <v>233</v>
      </c>
      <c r="E52" s="150" t="s">
        <v>228</v>
      </c>
      <c r="F52" s="150">
        <v>28</v>
      </c>
      <c r="G52" s="150" t="s">
        <v>234</v>
      </c>
      <c r="H52" s="150" t="s">
        <v>136</v>
      </c>
      <c r="I52" s="150" t="s">
        <v>132</v>
      </c>
      <c r="J52" s="150" t="s">
        <v>132</v>
      </c>
      <c r="K52" s="150" t="s">
        <v>132</v>
      </c>
      <c r="L52" s="150" t="s">
        <v>284</v>
      </c>
      <c r="M52" s="156">
        <v>0.5806</v>
      </c>
      <c r="N52" s="156">
        <v>16.255400000000002</v>
      </c>
      <c r="O52" s="156">
        <v>0.75324199999999997</v>
      </c>
      <c r="P52" s="156">
        <v>10.545733999999994</v>
      </c>
      <c r="Q52" s="150" t="s">
        <v>132</v>
      </c>
      <c r="R52" s="150" t="s">
        <v>132</v>
      </c>
      <c r="S52" s="150" t="s">
        <v>132</v>
      </c>
      <c r="T52" s="150" t="s">
        <v>132</v>
      </c>
      <c r="U52" s="150" t="s">
        <v>132</v>
      </c>
      <c r="V52" s="150" t="s">
        <v>132</v>
      </c>
      <c r="W52" s="150" t="s">
        <v>132</v>
      </c>
      <c r="X52" s="150" t="s">
        <v>132</v>
      </c>
      <c r="Y52" s="150" t="s">
        <v>132</v>
      </c>
      <c r="Z52" s="150" t="s">
        <v>132</v>
      </c>
      <c r="AA52" s="150" t="s">
        <v>132</v>
      </c>
      <c r="AB52" s="150" t="s">
        <v>132</v>
      </c>
      <c r="AC52" s="150" t="s">
        <v>132</v>
      </c>
      <c r="AD52" s="150" t="s">
        <v>132</v>
      </c>
      <c r="AE52" s="150" t="s">
        <v>132</v>
      </c>
      <c r="AF52" s="150" t="s">
        <v>132</v>
      </c>
      <c r="AG52" s="150" t="s">
        <v>132</v>
      </c>
      <c r="AH52" s="150" t="s">
        <v>132</v>
      </c>
      <c r="AI52" s="150" t="s">
        <v>132</v>
      </c>
      <c r="AJ52" s="150" t="s">
        <v>132</v>
      </c>
      <c r="AK52" s="150" t="s">
        <v>132</v>
      </c>
      <c r="AL52" s="150" t="s">
        <v>132</v>
      </c>
      <c r="AM52" s="150" t="s">
        <v>132</v>
      </c>
      <c r="AN52" s="150" t="s">
        <v>132</v>
      </c>
      <c r="AO52" s="150" t="s">
        <v>132</v>
      </c>
      <c r="AP52" s="150" t="s">
        <v>132</v>
      </c>
      <c r="AQ52" s="150" t="s">
        <v>132</v>
      </c>
      <c r="AR52" s="150" t="s">
        <v>132</v>
      </c>
      <c r="AS52" s="150" t="s">
        <v>132</v>
      </c>
      <c r="AT52" s="150" t="s">
        <v>132</v>
      </c>
      <c r="AU52" s="150" t="s">
        <v>132</v>
      </c>
      <c r="AV52" s="150" t="s">
        <v>132</v>
      </c>
      <c r="AW52" s="150" t="s">
        <v>132</v>
      </c>
      <c r="AX52" s="150" t="s">
        <v>132</v>
      </c>
      <c r="AY52" s="150" t="s">
        <v>132</v>
      </c>
      <c r="AZ52" s="150" t="s">
        <v>132</v>
      </c>
      <c r="BA52" s="150" t="s">
        <v>132</v>
      </c>
      <c r="BB52" s="150" t="s">
        <v>132</v>
      </c>
      <c r="BC52" s="150" t="s">
        <v>132</v>
      </c>
      <c r="BD52" s="150" t="s">
        <v>132</v>
      </c>
      <c r="BE52" s="150" t="s">
        <v>132</v>
      </c>
      <c r="BF52" s="150" t="s">
        <v>132</v>
      </c>
      <c r="BG52" s="150" t="s">
        <v>132</v>
      </c>
      <c r="BH52" s="150" t="s">
        <v>132</v>
      </c>
      <c r="BI52" s="150" t="s">
        <v>132</v>
      </c>
      <c r="BJ52" s="150" t="s">
        <v>132</v>
      </c>
      <c r="BK52" s="150" t="s">
        <v>132</v>
      </c>
      <c r="BL52" s="150" t="s">
        <v>132</v>
      </c>
      <c r="BM52" s="150" t="s">
        <v>132</v>
      </c>
      <c r="BN52" s="150" t="s">
        <v>132</v>
      </c>
      <c r="BO52" s="150" t="s">
        <v>132</v>
      </c>
      <c r="BP52" s="150" t="s">
        <v>132</v>
      </c>
      <c r="BQ52" s="150" t="s">
        <v>132</v>
      </c>
      <c r="BR52" s="150" t="s">
        <v>132</v>
      </c>
      <c r="BS52" s="150" t="s">
        <v>132</v>
      </c>
      <c r="BT52" s="150" t="s">
        <v>132</v>
      </c>
      <c r="BU52" s="150" t="s">
        <v>132</v>
      </c>
      <c r="BV52" s="150" t="s">
        <v>132</v>
      </c>
      <c r="BW52" s="150" t="s">
        <v>132</v>
      </c>
      <c r="BX52" s="150" t="s">
        <v>132</v>
      </c>
      <c r="BY52" s="150" t="s">
        <v>132</v>
      </c>
      <c r="BZ52" s="150" t="s">
        <v>132</v>
      </c>
      <c r="CA52" s="150" t="s">
        <v>132</v>
      </c>
      <c r="CB52" s="150" t="s">
        <v>132</v>
      </c>
      <c r="CC52" s="190" t="s">
        <v>132</v>
      </c>
      <c r="CD52" s="190" t="s">
        <v>132</v>
      </c>
      <c r="CE52" s="190" t="s">
        <v>132</v>
      </c>
      <c r="CF52" s="190" t="s">
        <v>132</v>
      </c>
      <c r="CG52" s="190" t="s">
        <v>132</v>
      </c>
      <c r="CH52" s="190" t="s">
        <v>132</v>
      </c>
      <c r="CI52" s="190" t="s">
        <v>132</v>
      </c>
      <c r="CJ52" s="190" t="s">
        <v>132</v>
      </c>
      <c r="CK52" s="190" t="s">
        <v>132</v>
      </c>
      <c r="CL52" s="190" t="s">
        <v>132</v>
      </c>
      <c r="CM52" s="190" t="s">
        <v>132</v>
      </c>
      <c r="CN52" s="190" t="s">
        <v>132</v>
      </c>
      <c r="CO52" s="190" t="s">
        <v>132</v>
      </c>
      <c r="CP52" s="190" t="s">
        <v>132</v>
      </c>
      <c r="CQ52" s="190" t="s">
        <v>132</v>
      </c>
      <c r="CR52" s="190" t="s">
        <v>132</v>
      </c>
      <c r="CS52" s="190" t="s">
        <v>132</v>
      </c>
      <c r="CT52" s="190" t="s">
        <v>132</v>
      </c>
      <c r="CU52" s="190" t="s">
        <v>132</v>
      </c>
      <c r="CV52" s="190" t="s">
        <v>132</v>
      </c>
      <c r="CW52" s="190" t="s">
        <v>132</v>
      </c>
      <c r="CX52" s="190" t="s">
        <v>132</v>
      </c>
      <c r="CY52" s="190" t="s">
        <v>132</v>
      </c>
      <c r="CZ52" s="190" t="s">
        <v>132</v>
      </c>
      <c r="DA52" s="190" t="s">
        <v>132</v>
      </c>
      <c r="DB52" s="190" t="s">
        <v>132</v>
      </c>
      <c r="DC52" s="190" t="s">
        <v>132</v>
      </c>
      <c r="DD52" s="190" t="s">
        <v>132</v>
      </c>
      <c r="DE52" s="190" t="s">
        <v>132</v>
      </c>
      <c r="DF52" s="190" t="s">
        <v>132</v>
      </c>
      <c r="DG52" s="190" t="s">
        <v>132</v>
      </c>
      <c r="DH52" s="190" t="s">
        <v>132</v>
      </c>
    </row>
    <row r="53" spans="1:112">
      <c r="A53" s="150" t="s">
        <v>142</v>
      </c>
      <c r="B53" s="150">
        <v>3</v>
      </c>
      <c r="C53" s="150">
        <v>3</v>
      </c>
      <c r="D53" s="150" t="s">
        <v>233</v>
      </c>
      <c r="E53" s="150" t="s">
        <v>228</v>
      </c>
      <c r="F53" s="150">
        <v>70</v>
      </c>
      <c r="G53" s="150" t="s">
        <v>235</v>
      </c>
      <c r="H53" s="150" t="s">
        <v>136</v>
      </c>
      <c r="I53" s="150" t="s">
        <v>132</v>
      </c>
      <c r="J53" s="150" t="s">
        <v>132</v>
      </c>
      <c r="K53" s="150" t="s">
        <v>132</v>
      </c>
      <c r="L53" s="150" t="s">
        <v>284</v>
      </c>
      <c r="M53" s="168">
        <v>2.3222</v>
      </c>
      <c r="N53" s="156">
        <v>25.5443</v>
      </c>
      <c r="O53" s="168">
        <v>3.0131410000000005</v>
      </c>
      <c r="P53" s="156">
        <v>20.087029999999995</v>
      </c>
      <c r="Q53" s="150" t="s">
        <v>132</v>
      </c>
      <c r="R53" s="150" t="s">
        <v>132</v>
      </c>
      <c r="S53" s="150" t="s">
        <v>132</v>
      </c>
      <c r="T53" s="150" t="s">
        <v>132</v>
      </c>
      <c r="U53" s="150" t="s">
        <v>132</v>
      </c>
      <c r="V53" s="150" t="s">
        <v>132</v>
      </c>
      <c r="W53" s="150" t="s">
        <v>132</v>
      </c>
      <c r="X53" s="150" t="s">
        <v>132</v>
      </c>
      <c r="Y53" s="150" t="s">
        <v>132</v>
      </c>
      <c r="Z53" s="150" t="s">
        <v>132</v>
      </c>
      <c r="AA53" s="150" t="s">
        <v>132</v>
      </c>
      <c r="AB53" s="150" t="s">
        <v>132</v>
      </c>
      <c r="AC53" s="150" t="s">
        <v>132</v>
      </c>
      <c r="AD53" s="150" t="s">
        <v>132</v>
      </c>
      <c r="AE53" s="150" t="s">
        <v>132</v>
      </c>
      <c r="AF53" s="150" t="s">
        <v>132</v>
      </c>
      <c r="AG53" s="150" t="s">
        <v>132</v>
      </c>
      <c r="AH53" s="150" t="s">
        <v>132</v>
      </c>
      <c r="AI53" s="150" t="s">
        <v>132</v>
      </c>
      <c r="AJ53" s="150" t="s">
        <v>132</v>
      </c>
      <c r="AK53" s="150" t="s">
        <v>132</v>
      </c>
      <c r="AL53" s="150" t="s">
        <v>132</v>
      </c>
      <c r="AM53" s="150" t="s">
        <v>132</v>
      </c>
      <c r="AN53" s="150" t="s">
        <v>132</v>
      </c>
      <c r="AO53" s="150" t="s">
        <v>132</v>
      </c>
      <c r="AP53" s="150" t="s">
        <v>132</v>
      </c>
      <c r="AQ53" s="150" t="s">
        <v>132</v>
      </c>
      <c r="AR53" s="150" t="s">
        <v>132</v>
      </c>
      <c r="AS53" s="150" t="s">
        <v>132</v>
      </c>
      <c r="AT53" s="150" t="s">
        <v>132</v>
      </c>
      <c r="AU53" s="150" t="s">
        <v>132</v>
      </c>
      <c r="AV53" s="150" t="s">
        <v>132</v>
      </c>
      <c r="AW53" s="150" t="s">
        <v>132</v>
      </c>
      <c r="AX53" s="150" t="s">
        <v>132</v>
      </c>
      <c r="AY53" s="150" t="s">
        <v>132</v>
      </c>
      <c r="AZ53" s="150" t="s">
        <v>132</v>
      </c>
      <c r="BA53" s="150" t="s">
        <v>132</v>
      </c>
      <c r="BB53" s="150" t="s">
        <v>132</v>
      </c>
      <c r="BC53" s="150" t="s">
        <v>132</v>
      </c>
      <c r="BD53" s="150" t="s">
        <v>132</v>
      </c>
      <c r="BE53" s="150" t="s">
        <v>132</v>
      </c>
      <c r="BF53" s="150" t="s">
        <v>132</v>
      </c>
      <c r="BG53" s="150" t="s">
        <v>132</v>
      </c>
      <c r="BH53" s="150" t="s">
        <v>132</v>
      </c>
      <c r="BI53" s="150" t="s">
        <v>132</v>
      </c>
      <c r="BJ53" s="150" t="s">
        <v>132</v>
      </c>
      <c r="BK53" s="150" t="s">
        <v>132</v>
      </c>
      <c r="BL53" s="150" t="s">
        <v>132</v>
      </c>
      <c r="BM53" s="150" t="s">
        <v>132</v>
      </c>
      <c r="BN53" s="150" t="s">
        <v>132</v>
      </c>
      <c r="BO53" s="150" t="s">
        <v>132</v>
      </c>
      <c r="BP53" s="150" t="s">
        <v>132</v>
      </c>
      <c r="BQ53" s="150" t="s">
        <v>132</v>
      </c>
      <c r="BR53" s="150" t="s">
        <v>132</v>
      </c>
      <c r="BS53" s="150" t="s">
        <v>132</v>
      </c>
      <c r="BT53" s="150" t="s">
        <v>132</v>
      </c>
      <c r="BU53" s="150" t="s">
        <v>132</v>
      </c>
      <c r="BV53" s="150" t="s">
        <v>132</v>
      </c>
      <c r="BW53" s="150" t="s">
        <v>132</v>
      </c>
      <c r="BX53" s="150" t="s">
        <v>132</v>
      </c>
      <c r="BY53" s="150" t="s">
        <v>132</v>
      </c>
      <c r="BZ53" s="150" t="s">
        <v>132</v>
      </c>
      <c r="CA53" s="150" t="s">
        <v>132</v>
      </c>
      <c r="CB53" s="150" t="s">
        <v>132</v>
      </c>
      <c r="CC53" s="190" t="s">
        <v>132</v>
      </c>
      <c r="CD53" s="190" t="s">
        <v>132</v>
      </c>
      <c r="CE53" s="190" t="s">
        <v>132</v>
      </c>
      <c r="CF53" s="190" t="s">
        <v>132</v>
      </c>
      <c r="CG53" s="190" t="s">
        <v>132</v>
      </c>
      <c r="CH53" s="190" t="s">
        <v>132</v>
      </c>
      <c r="CI53" s="190" t="s">
        <v>132</v>
      </c>
      <c r="CJ53" s="190" t="s">
        <v>132</v>
      </c>
      <c r="CK53" s="190" t="s">
        <v>132</v>
      </c>
      <c r="CL53" s="190" t="s">
        <v>132</v>
      </c>
      <c r="CM53" s="190" t="s">
        <v>132</v>
      </c>
      <c r="CN53" s="190" t="s">
        <v>132</v>
      </c>
      <c r="CO53" s="190" t="s">
        <v>132</v>
      </c>
      <c r="CP53" s="190" t="s">
        <v>132</v>
      </c>
      <c r="CQ53" s="190" t="s">
        <v>132</v>
      </c>
      <c r="CR53" s="190" t="s">
        <v>132</v>
      </c>
      <c r="CS53" s="190" t="s">
        <v>132</v>
      </c>
      <c r="CT53" s="190" t="s">
        <v>132</v>
      </c>
      <c r="CU53" s="190" t="s">
        <v>132</v>
      </c>
      <c r="CV53" s="190" t="s">
        <v>132</v>
      </c>
      <c r="CW53" s="190" t="s">
        <v>132</v>
      </c>
      <c r="CX53" s="190" t="s">
        <v>132</v>
      </c>
      <c r="CY53" s="190" t="s">
        <v>132</v>
      </c>
      <c r="CZ53" s="190" t="s">
        <v>132</v>
      </c>
      <c r="DA53" s="190" t="s">
        <v>132</v>
      </c>
      <c r="DB53" s="190" t="s">
        <v>132</v>
      </c>
      <c r="DC53" s="190" t="s">
        <v>132</v>
      </c>
      <c r="DD53" s="190" t="s">
        <v>132</v>
      </c>
      <c r="DE53" s="190" t="s">
        <v>132</v>
      </c>
      <c r="DF53" s="190" t="s">
        <v>132</v>
      </c>
      <c r="DG53" s="190" t="s">
        <v>132</v>
      </c>
      <c r="DH53" s="190" t="s">
        <v>132</v>
      </c>
    </row>
    <row r="54" spans="1:112">
      <c r="A54" s="150" t="s">
        <v>142</v>
      </c>
      <c r="B54" s="150">
        <v>6</v>
      </c>
      <c r="C54" s="150">
        <v>6</v>
      </c>
      <c r="D54" s="150" t="s">
        <v>233</v>
      </c>
      <c r="E54" s="150" t="s">
        <v>228</v>
      </c>
      <c r="F54" s="150">
        <v>126</v>
      </c>
      <c r="G54" s="150" t="s">
        <v>235</v>
      </c>
      <c r="H54" s="150" t="s">
        <v>136</v>
      </c>
      <c r="I54" s="150" t="s">
        <v>132</v>
      </c>
      <c r="J54" s="150" t="s">
        <v>132</v>
      </c>
      <c r="K54" s="150" t="s">
        <v>132</v>
      </c>
      <c r="L54" s="150" t="s">
        <v>284</v>
      </c>
      <c r="M54" s="150" t="s">
        <v>132</v>
      </c>
      <c r="N54" s="168">
        <v>66.328000000000003</v>
      </c>
      <c r="O54" s="150" t="s">
        <v>132</v>
      </c>
      <c r="P54" s="168">
        <v>9.2415464000000043</v>
      </c>
      <c r="Q54" s="150" t="s">
        <v>132</v>
      </c>
      <c r="R54" s="150" t="s">
        <v>132</v>
      </c>
      <c r="S54" s="150" t="s">
        <v>132</v>
      </c>
      <c r="T54" s="150" t="s">
        <v>132</v>
      </c>
      <c r="U54" s="150" t="s">
        <v>132</v>
      </c>
      <c r="V54" s="150" t="s">
        <v>132</v>
      </c>
      <c r="W54" s="150" t="s">
        <v>132</v>
      </c>
      <c r="X54" s="150" t="s">
        <v>132</v>
      </c>
      <c r="Y54" s="150" t="s">
        <v>132</v>
      </c>
      <c r="Z54" s="150" t="s">
        <v>132</v>
      </c>
      <c r="AA54" s="150" t="s">
        <v>132</v>
      </c>
      <c r="AB54" s="150" t="s">
        <v>132</v>
      </c>
      <c r="AC54" s="150" t="s">
        <v>132</v>
      </c>
      <c r="AD54" s="150" t="s">
        <v>132</v>
      </c>
      <c r="AE54" s="150" t="s">
        <v>132</v>
      </c>
      <c r="AF54" s="150" t="s">
        <v>132</v>
      </c>
      <c r="AG54" s="150" t="s">
        <v>132</v>
      </c>
      <c r="AH54" s="150" t="s">
        <v>132</v>
      </c>
      <c r="AI54" s="150" t="s">
        <v>132</v>
      </c>
      <c r="AJ54" s="150" t="s">
        <v>132</v>
      </c>
      <c r="AK54" s="150" t="s">
        <v>132</v>
      </c>
      <c r="AL54" s="150" t="s">
        <v>132</v>
      </c>
      <c r="AM54" s="150" t="s">
        <v>132</v>
      </c>
      <c r="AN54" s="150" t="s">
        <v>132</v>
      </c>
      <c r="AO54" s="150" t="s">
        <v>132</v>
      </c>
      <c r="AP54" s="150" t="s">
        <v>132</v>
      </c>
      <c r="AQ54" s="150" t="s">
        <v>132</v>
      </c>
      <c r="AR54" s="150" t="s">
        <v>132</v>
      </c>
      <c r="AS54" s="150" t="s">
        <v>132</v>
      </c>
      <c r="AT54" s="150" t="s">
        <v>132</v>
      </c>
      <c r="AU54" s="150" t="s">
        <v>132</v>
      </c>
      <c r="AV54" s="150" t="s">
        <v>132</v>
      </c>
      <c r="AW54" s="150" t="s">
        <v>132</v>
      </c>
      <c r="AX54" s="150" t="s">
        <v>132</v>
      </c>
      <c r="AY54" s="150" t="s">
        <v>132</v>
      </c>
      <c r="AZ54" s="150" t="s">
        <v>132</v>
      </c>
      <c r="BA54" s="150" t="s">
        <v>132</v>
      </c>
      <c r="BB54" s="150" t="s">
        <v>132</v>
      </c>
      <c r="BC54" s="150" t="s">
        <v>132</v>
      </c>
      <c r="BD54" s="150" t="s">
        <v>132</v>
      </c>
      <c r="BE54" s="150" t="s">
        <v>132</v>
      </c>
      <c r="BF54" s="150" t="s">
        <v>132</v>
      </c>
      <c r="BG54" s="150" t="s">
        <v>132</v>
      </c>
      <c r="BH54" s="150" t="s">
        <v>132</v>
      </c>
      <c r="BI54" s="150" t="s">
        <v>132</v>
      </c>
      <c r="BJ54" s="150" t="s">
        <v>132</v>
      </c>
      <c r="BK54" s="150" t="s">
        <v>132</v>
      </c>
      <c r="BL54" s="150" t="s">
        <v>132</v>
      </c>
      <c r="BM54" s="150" t="s">
        <v>132</v>
      </c>
      <c r="BN54" s="150" t="s">
        <v>132</v>
      </c>
      <c r="BO54" s="150" t="s">
        <v>132</v>
      </c>
      <c r="BP54" s="150" t="s">
        <v>132</v>
      </c>
      <c r="BQ54" s="150" t="s">
        <v>132</v>
      </c>
      <c r="BR54" s="150" t="s">
        <v>132</v>
      </c>
      <c r="BS54" s="150" t="s">
        <v>132</v>
      </c>
      <c r="BT54" s="150" t="s">
        <v>132</v>
      </c>
      <c r="BU54" s="150" t="s">
        <v>132</v>
      </c>
      <c r="BV54" s="150" t="s">
        <v>132</v>
      </c>
      <c r="BW54" s="150" t="s">
        <v>132</v>
      </c>
      <c r="BX54" s="150" t="s">
        <v>132</v>
      </c>
      <c r="BY54" s="150" t="s">
        <v>132</v>
      </c>
      <c r="BZ54" s="150" t="s">
        <v>132</v>
      </c>
      <c r="CA54" s="150" t="s">
        <v>132</v>
      </c>
      <c r="CB54" s="150" t="s">
        <v>132</v>
      </c>
      <c r="CC54" s="190" t="s">
        <v>132</v>
      </c>
      <c r="CD54" s="190" t="s">
        <v>132</v>
      </c>
      <c r="CE54" s="190" t="s">
        <v>132</v>
      </c>
      <c r="CF54" s="190" t="s">
        <v>132</v>
      </c>
      <c r="CG54" s="190" t="s">
        <v>132</v>
      </c>
      <c r="CH54" s="190" t="s">
        <v>132</v>
      </c>
      <c r="CI54" s="190" t="s">
        <v>132</v>
      </c>
      <c r="CJ54" s="190" t="s">
        <v>132</v>
      </c>
      <c r="CK54" s="190" t="s">
        <v>132</v>
      </c>
      <c r="CL54" s="190" t="s">
        <v>132</v>
      </c>
      <c r="CM54" s="190" t="s">
        <v>132</v>
      </c>
      <c r="CN54" s="190" t="s">
        <v>132</v>
      </c>
      <c r="CO54" s="190" t="s">
        <v>132</v>
      </c>
      <c r="CP54" s="190" t="s">
        <v>132</v>
      </c>
      <c r="CQ54" s="190" t="s">
        <v>132</v>
      </c>
      <c r="CR54" s="190" t="s">
        <v>132</v>
      </c>
      <c r="CS54" s="190" t="s">
        <v>132</v>
      </c>
      <c r="CT54" s="190" t="s">
        <v>132</v>
      </c>
      <c r="CU54" s="190" t="s">
        <v>132</v>
      </c>
      <c r="CV54" s="190" t="s">
        <v>132</v>
      </c>
      <c r="CW54" s="190" t="s">
        <v>132</v>
      </c>
      <c r="CX54" s="190" t="s">
        <v>132</v>
      </c>
      <c r="CY54" s="190" t="s">
        <v>132</v>
      </c>
      <c r="CZ54" s="190" t="s">
        <v>132</v>
      </c>
      <c r="DA54" s="190" t="s">
        <v>132</v>
      </c>
      <c r="DB54" s="190" t="s">
        <v>132</v>
      </c>
      <c r="DC54" s="190" t="s">
        <v>132</v>
      </c>
      <c r="DD54" s="190" t="s">
        <v>132</v>
      </c>
      <c r="DE54" s="190" t="s">
        <v>132</v>
      </c>
      <c r="DF54" s="190" t="s">
        <v>132</v>
      </c>
      <c r="DG54" s="190" t="s">
        <v>132</v>
      </c>
      <c r="DH54" s="190" t="s">
        <v>132</v>
      </c>
    </row>
    <row r="55" spans="1:112">
      <c r="A55" s="150" t="s">
        <v>142</v>
      </c>
      <c r="B55" s="150">
        <v>3</v>
      </c>
      <c r="C55" s="150">
        <v>3</v>
      </c>
      <c r="D55" s="150" t="s">
        <v>233</v>
      </c>
      <c r="E55" s="150" t="s">
        <v>230</v>
      </c>
      <c r="F55" s="150">
        <v>28</v>
      </c>
      <c r="G55" s="150" t="s">
        <v>234</v>
      </c>
      <c r="H55" s="150" t="s">
        <v>136</v>
      </c>
      <c r="I55" s="150" t="s">
        <v>132</v>
      </c>
      <c r="J55" s="150" t="s">
        <v>132</v>
      </c>
      <c r="K55" s="150" t="s">
        <v>132</v>
      </c>
      <c r="L55" s="150" t="s">
        <v>284</v>
      </c>
      <c r="M55" s="156">
        <v>4.9382999999999999</v>
      </c>
      <c r="N55" s="156">
        <v>31.040600000000001</v>
      </c>
      <c r="O55" s="156">
        <v>4.5767150000000001</v>
      </c>
      <c r="P55" s="156">
        <v>8.8482579999999995</v>
      </c>
      <c r="Q55" s="150" t="s">
        <v>132</v>
      </c>
      <c r="R55" s="150" t="s">
        <v>132</v>
      </c>
      <c r="S55" s="150" t="s">
        <v>132</v>
      </c>
      <c r="T55" s="150" t="s">
        <v>132</v>
      </c>
      <c r="U55" s="150" t="s">
        <v>132</v>
      </c>
      <c r="V55" s="150" t="s">
        <v>132</v>
      </c>
      <c r="W55" s="150" t="s">
        <v>132</v>
      </c>
      <c r="X55" s="150" t="s">
        <v>132</v>
      </c>
      <c r="Y55" s="150" t="s">
        <v>132</v>
      </c>
      <c r="Z55" s="150" t="s">
        <v>132</v>
      </c>
      <c r="AA55" s="150" t="s">
        <v>132</v>
      </c>
      <c r="AB55" s="150" t="s">
        <v>132</v>
      </c>
      <c r="AC55" s="150" t="s">
        <v>132</v>
      </c>
      <c r="AD55" s="150" t="s">
        <v>132</v>
      </c>
      <c r="AE55" s="150" t="s">
        <v>132</v>
      </c>
      <c r="AF55" s="150" t="s">
        <v>132</v>
      </c>
      <c r="AG55" s="150" t="s">
        <v>132</v>
      </c>
      <c r="AH55" s="150" t="s">
        <v>132</v>
      </c>
      <c r="AI55" s="150" t="s">
        <v>132</v>
      </c>
      <c r="AJ55" s="150" t="s">
        <v>132</v>
      </c>
      <c r="AK55" s="150" t="s">
        <v>132</v>
      </c>
      <c r="AL55" s="150" t="s">
        <v>132</v>
      </c>
      <c r="AM55" s="150" t="s">
        <v>132</v>
      </c>
      <c r="AN55" s="150" t="s">
        <v>132</v>
      </c>
      <c r="AO55" s="150" t="s">
        <v>132</v>
      </c>
      <c r="AP55" s="150" t="s">
        <v>132</v>
      </c>
      <c r="AQ55" s="150" t="s">
        <v>132</v>
      </c>
      <c r="AR55" s="150" t="s">
        <v>132</v>
      </c>
      <c r="AS55" s="150" t="s">
        <v>132</v>
      </c>
      <c r="AT55" s="150" t="s">
        <v>132</v>
      </c>
      <c r="AU55" s="150" t="s">
        <v>132</v>
      </c>
      <c r="AV55" s="150" t="s">
        <v>132</v>
      </c>
      <c r="AW55" s="150" t="s">
        <v>132</v>
      </c>
      <c r="AX55" s="150" t="s">
        <v>132</v>
      </c>
      <c r="AY55" s="150" t="s">
        <v>132</v>
      </c>
      <c r="AZ55" s="150" t="s">
        <v>132</v>
      </c>
      <c r="BA55" s="150" t="s">
        <v>132</v>
      </c>
      <c r="BB55" s="150" t="s">
        <v>132</v>
      </c>
      <c r="BC55" s="150" t="s">
        <v>132</v>
      </c>
      <c r="BD55" s="150" t="s">
        <v>132</v>
      </c>
      <c r="BE55" s="150" t="s">
        <v>132</v>
      </c>
      <c r="BF55" s="150" t="s">
        <v>132</v>
      </c>
      <c r="BG55" s="150" t="s">
        <v>132</v>
      </c>
      <c r="BH55" s="150" t="s">
        <v>132</v>
      </c>
      <c r="BI55" s="150" t="s">
        <v>132</v>
      </c>
      <c r="BJ55" s="150" t="s">
        <v>132</v>
      </c>
      <c r="BK55" s="150" t="s">
        <v>132</v>
      </c>
      <c r="BL55" s="150" t="s">
        <v>132</v>
      </c>
      <c r="BM55" s="150" t="s">
        <v>132</v>
      </c>
      <c r="BN55" s="150" t="s">
        <v>132</v>
      </c>
      <c r="BO55" s="150" t="s">
        <v>132</v>
      </c>
      <c r="BP55" s="150" t="s">
        <v>132</v>
      </c>
      <c r="BQ55" s="150" t="s">
        <v>132</v>
      </c>
      <c r="BR55" s="150" t="s">
        <v>132</v>
      </c>
      <c r="BS55" s="150" t="s">
        <v>132</v>
      </c>
      <c r="BT55" s="150" t="s">
        <v>132</v>
      </c>
      <c r="BU55" s="150" t="s">
        <v>132</v>
      </c>
      <c r="BV55" s="150" t="s">
        <v>132</v>
      </c>
      <c r="BW55" s="150" t="s">
        <v>132</v>
      </c>
      <c r="BX55" s="150" t="s">
        <v>132</v>
      </c>
      <c r="BY55" s="150" t="s">
        <v>132</v>
      </c>
      <c r="BZ55" s="150" t="s">
        <v>132</v>
      </c>
      <c r="CA55" s="150" t="s">
        <v>132</v>
      </c>
      <c r="CB55" s="150" t="s">
        <v>132</v>
      </c>
      <c r="CC55" s="190" t="s">
        <v>132</v>
      </c>
      <c r="CD55" s="190" t="s">
        <v>132</v>
      </c>
      <c r="CE55" s="190" t="s">
        <v>132</v>
      </c>
      <c r="CF55" s="190" t="s">
        <v>132</v>
      </c>
      <c r="CG55" s="190" t="s">
        <v>132</v>
      </c>
      <c r="CH55" s="190" t="s">
        <v>132</v>
      </c>
      <c r="CI55" s="190" t="s">
        <v>132</v>
      </c>
      <c r="CJ55" s="190" t="s">
        <v>132</v>
      </c>
      <c r="CK55" s="190" t="s">
        <v>132</v>
      </c>
      <c r="CL55" s="190" t="s">
        <v>132</v>
      </c>
      <c r="CM55" s="190" t="s">
        <v>132</v>
      </c>
      <c r="CN55" s="190" t="s">
        <v>132</v>
      </c>
      <c r="CO55" s="190" t="s">
        <v>132</v>
      </c>
      <c r="CP55" s="190" t="s">
        <v>132</v>
      </c>
      <c r="CQ55" s="190" t="s">
        <v>132</v>
      </c>
      <c r="CR55" s="190" t="s">
        <v>132</v>
      </c>
      <c r="CS55" s="190" t="s">
        <v>132</v>
      </c>
      <c r="CT55" s="190" t="s">
        <v>132</v>
      </c>
      <c r="CU55" s="190" t="s">
        <v>132</v>
      </c>
      <c r="CV55" s="190" t="s">
        <v>132</v>
      </c>
      <c r="CW55" s="190" t="s">
        <v>132</v>
      </c>
      <c r="CX55" s="190" t="s">
        <v>132</v>
      </c>
      <c r="CY55" s="190" t="s">
        <v>132</v>
      </c>
      <c r="CZ55" s="190" t="s">
        <v>132</v>
      </c>
      <c r="DA55" s="190" t="s">
        <v>132</v>
      </c>
      <c r="DB55" s="190" t="s">
        <v>132</v>
      </c>
      <c r="DC55" s="190" t="s">
        <v>132</v>
      </c>
      <c r="DD55" s="190" t="s">
        <v>132</v>
      </c>
      <c r="DE55" s="190" t="s">
        <v>132</v>
      </c>
      <c r="DF55" s="190" t="s">
        <v>132</v>
      </c>
      <c r="DG55" s="190" t="s">
        <v>132</v>
      </c>
      <c r="DH55" s="190" t="s">
        <v>132</v>
      </c>
    </row>
    <row r="56" spans="1:112">
      <c r="A56" s="150" t="s">
        <v>142</v>
      </c>
      <c r="B56" s="150">
        <v>3</v>
      </c>
      <c r="C56" s="150">
        <v>3</v>
      </c>
      <c r="D56" s="150" t="s">
        <v>233</v>
      </c>
      <c r="E56" s="150" t="s">
        <v>230</v>
      </c>
      <c r="F56" s="150">
        <v>70</v>
      </c>
      <c r="G56" s="150" t="s">
        <v>235</v>
      </c>
      <c r="H56" s="150" t="s">
        <v>136</v>
      </c>
      <c r="I56" s="150" t="s">
        <v>132</v>
      </c>
      <c r="J56" s="150" t="s">
        <v>132</v>
      </c>
      <c r="K56" s="150" t="s">
        <v>132</v>
      </c>
      <c r="L56" s="150" t="s">
        <v>284</v>
      </c>
      <c r="M56" s="168">
        <v>35.626100000000001</v>
      </c>
      <c r="N56" s="156">
        <v>89.947100000000006</v>
      </c>
      <c r="O56" s="168">
        <v>5.4920579999999966</v>
      </c>
      <c r="P56" s="156">
        <v>6.4074009999999957</v>
      </c>
      <c r="Q56" s="150" t="s">
        <v>132</v>
      </c>
      <c r="R56" s="150" t="s">
        <v>132</v>
      </c>
      <c r="S56" s="150" t="s">
        <v>132</v>
      </c>
      <c r="T56" s="150" t="s">
        <v>132</v>
      </c>
      <c r="U56" s="150" t="s">
        <v>132</v>
      </c>
      <c r="V56" s="150" t="s">
        <v>132</v>
      </c>
      <c r="W56" s="150" t="s">
        <v>132</v>
      </c>
      <c r="X56" s="150" t="s">
        <v>132</v>
      </c>
      <c r="Y56" s="150" t="s">
        <v>132</v>
      </c>
      <c r="Z56" s="150" t="s">
        <v>132</v>
      </c>
      <c r="AA56" s="150" t="s">
        <v>132</v>
      </c>
      <c r="AB56" s="150" t="s">
        <v>132</v>
      </c>
      <c r="AC56" s="150" t="s">
        <v>132</v>
      </c>
      <c r="AD56" s="150" t="s">
        <v>132</v>
      </c>
      <c r="AE56" s="150" t="s">
        <v>132</v>
      </c>
      <c r="AF56" s="150" t="s">
        <v>132</v>
      </c>
      <c r="AG56" s="150" t="s">
        <v>132</v>
      </c>
      <c r="AH56" s="150" t="s">
        <v>132</v>
      </c>
      <c r="AI56" s="150" t="s">
        <v>132</v>
      </c>
      <c r="AJ56" s="150" t="s">
        <v>132</v>
      </c>
      <c r="AK56" s="150" t="s">
        <v>132</v>
      </c>
      <c r="AL56" s="150" t="s">
        <v>132</v>
      </c>
      <c r="AM56" s="150" t="s">
        <v>132</v>
      </c>
      <c r="AN56" s="150" t="s">
        <v>132</v>
      </c>
      <c r="AO56" s="150" t="s">
        <v>132</v>
      </c>
      <c r="AP56" s="150" t="s">
        <v>132</v>
      </c>
      <c r="AQ56" s="150" t="s">
        <v>132</v>
      </c>
      <c r="AR56" s="150" t="s">
        <v>132</v>
      </c>
      <c r="AS56" s="150" t="s">
        <v>132</v>
      </c>
      <c r="AT56" s="150" t="s">
        <v>132</v>
      </c>
      <c r="AU56" s="150" t="s">
        <v>132</v>
      </c>
      <c r="AV56" s="150" t="s">
        <v>132</v>
      </c>
      <c r="AW56" s="150" t="s">
        <v>132</v>
      </c>
      <c r="AX56" s="150" t="s">
        <v>132</v>
      </c>
      <c r="AY56" s="150" t="s">
        <v>132</v>
      </c>
      <c r="AZ56" s="150" t="s">
        <v>132</v>
      </c>
      <c r="BA56" s="150" t="s">
        <v>132</v>
      </c>
      <c r="BB56" s="150" t="s">
        <v>132</v>
      </c>
      <c r="BC56" s="150" t="s">
        <v>132</v>
      </c>
      <c r="BD56" s="150" t="s">
        <v>132</v>
      </c>
      <c r="BE56" s="150" t="s">
        <v>132</v>
      </c>
      <c r="BF56" s="150" t="s">
        <v>132</v>
      </c>
      <c r="BG56" s="150" t="s">
        <v>132</v>
      </c>
      <c r="BH56" s="150" t="s">
        <v>132</v>
      </c>
      <c r="BI56" s="150" t="s">
        <v>132</v>
      </c>
      <c r="BJ56" s="150" t="s">
        <v>132</v>
      </c>
      <c r="BK56" s="150" t="s">
        <v>132</v>
      </c>
      <c r="BL56" s="150" t="s">
        <v>132</v>
      </c>
      <c r="BM56" s="150" t="s">
        <v>132</v>
      </c>
      <c r="BN56" s="150" t="s">
        <v>132</v>
      </c>
      <c r="BO56" s="150" t="s">
        <v>132</v>
      </c>
      <c r="BP56" s="150" t="s">
        <v>132</v>
      </c>
      <c r="BQ56" s="150" t="s">
        <v>132</v>
      </c>
      <c r="BR56" s="150" t="s">
        <v>132</v>
      </c>
      <c r="BS56" s="150" t="s">
        <v>132</v>
      </c>
      <c r="BT56" s="150" t="s">
        <v>132</v>
      </c>
      <c r="BU56" s="150" t="s">
        <v>132</v>
      </c>
      <c r="BV56" s="150" t="s">
        <v>132</v>
      </c>
      <c r="BW56" s="150" t="s">
        <v>132</v>
      </c>
      <c r="BX56" s="150" t="s">
        <v>132</v>
      </c>
      <c r="BY56" s="150" t="s">
        <v>132</v>
      </c>
      <c r="BZ56" s="150" t="s">
        <v>132</v>
      </c>
      <c r="CA56" s="150" t="s">
        <v>132</v>
      </c>
      <c r="CB56" s="150" t="s">
        <v>132</v>
      </c>
      <c r="CC56" s="190" t="s">
        <v>132</v>
      </c>
      <c r="CD56" s="190" t="s">
        <v>132</v>
      </c>
      <c r="CE56" s="190" t="s">
        <v>132</v>
      </c>
      <c r="CF56" s="190" t="s">
        <v>132</v>
      </c>
      <c r="CG56" s="190" t="s">
        <v>132</v>
      </c>
      <c r="CH56" s="190" t="s">
        <v>132</v>
      </c>
      <c r="CI56" s="190" t="s">
        <v>132</v>
      </c>
      <c r="CJ56" s="190" t="s">
        <v>132</v>
      </c>
      <c r="CK56" s="190" t="s">
        <v>132</v>
      </c>
      <c r="CL56" s="190" t="s">
        <v>132</v>
      </c>
      <c r="CM56" s="190" t="s">
        <v>132</v>
      </c>
      <c r="CN56" s="190" t="s">
        <v>132</v>
      </c>
      <c r="CO56" s="190" t="s">
        <v>132</v>
      </c>
      <c r="CP56" s="190" t="s">
        <v>132</v>
      </c>
      <c r="CQ56" s="190" t="s">
        <v>132</v>
      </c>
      <c r="CR56" s="190" t="s">
        <v>132</v>
      </c>
      <c r="CS56" s="190" t="s">
        <v>132</v>
      </c>
      <c r="CT56" s="190" t="s">
        <v>132</v>
      </c>
      <c r="CU56" s="190" t="s">
        <v>132</v>
      </c>
      <c r="CV56" s="190" t="s">
        <v>132</v>
      </c>
      <c r="CW56" s="190" t="s">
        <v>132</v>
      </c>
      <c r="CX56" s="190" t="s">
        <v>132</v>
      </c>
      <c r="CY56" s="190" t="s">
        <v>132</v>
      </c>
      <c r="CZ56" s="190" t="s">
        <v>132</v>
      </c>
      <c r="DA56" s="190" t="s">
        <v>132</v>
      </c>
      <c r="DB56" s="190" t="s">
        <v>132</v>
      </c>
      <c r="DC56" s="190" t="s">
        <v>132</v>
      </c>
      <c r="DD56" s="190" t="s">
        <v>132</v>
      </c>
      <c r="DE56" s="190" t="s">
        <v>132</v>
      </c>
      <c r="DF56" s="190" t="s">
        <v>132</v>
      </c>
      <c r="DG56" s="190" t="s">
        <v>132</v>
      </c>
      <c r="DH56" s="190" t="s">
        <v>132</v>
      </c>
    </row>
    <row r="57" spans="1:112">
      <c r="A57" s="150" t="s">
        <v>142</v>
      </c>
      <c r="B57" s="150">
        <v>6</v>
      </c>
      <c r="C57" s="150">
        <v>6</v>
      </c>
      <c r="D57" s="150" t="s">
        <v>233</v>
      </c>
      <c r="E57" s="150" t="s">
        <v>230</v>
      </c>
      <c r="F57" s="150">
        <v>126</v>
      </c>
      <c r="G57" s="150" t="s">
        <v>235</v>
      </c>
      <c r="H57" s="150" t="s">
        <v>136</v>
      </c>
      <c r="I57" s="150" t="s">
        <v>132</v>
      </c>
      <c r="J57" s="150" t="s">
        <v>132</v>
      </c>
      <c r="K57" s="150" t="s">
        <v>132</v>
      </c>
      <c r="L57" s="150" t="s">
        <v>284</v>
      </c>
      <c r="M57" s="168">
        <v>47.442599999999999</v>
      </c>
      <c r="N57" s="168">
        <v>94.885400000000004</v>
      </c>
      <c r="O57" s="168">
        <v>23.32403110000001</v>
      </c>
      <c r="P57" s="168">
        <v>6.9105881999999896</v>
      </c>
      <c r="Q57" s="150" t="s">
        <v>132</v>
      </c>
      <c r="R57" s="150" t="s">
        <v>132</v>
      </c>
      <c r="S57" s="150" t="s">
        <v>132</v>
      </c>
      <c r="T57" s="150" t="s">
        <v>132</v>
      </c>
      <c r="U57" s="150" t="s">
        <v>132</v>
      </c>
      <c r="V57" s="150" t="s">
        <v>132</v>
      </c>
      <c r="W57" s="150" t="s">
        <v>132</v>
      </c>
      <c r="X57" s="150" t="s">
        <v>132</v>
      </c>
      <c r="Y57" s="150" t="s">
        <v>132</v>
      </c>
      <c r="Z57" s="150" t="s">
        <v>132</v>
      </c>
      <c r="AA57" s="150" t="s">
        <v>132</v>
      </c>
      <c r="AB57" s="150" t="s">
        <v>132</v>
      </c>
      <c r="AC57" s="150" t="s">
        <v>132</v>
      </c>
      <c r="AD57" s="150" t="s">
        <v>132</v>
      </c>
      <c r="AE57" s="150" t="s">
        <v>132</v>
      </c>
      <c r="AF57" s="150" t="s">
        <v>132</v>
      </c>
      <c r="AG57" s="150" t="s">
        <v>132</v>
      </c>
      <c r="AH57" s="150" t="s">
        <v>132</v>
      </c>
      <c r="AI57" s="150" t="s">
        <v>132</v>
      </c>
      <c r="AJ57" s="150" t="s">
        <v>132</v>
      </c>
      <c r="AK57" s="150" t="s">
        <v>132</v>
      </c>
      <c r="AL57" s="150" t="s">
        <v>132</v>
      </c>
      <c r="AM57" s="150" t="s">
        <v>132</v>
      </c>
      <c r="AN57" s="150" t="s">
        <v>132</v>
      </c>
      <c r="AO57" s="150" t="s">
        <v>132</v>
      </c>
      <c r="AP57" s="150" t="s">
        <v>132</v>
      </c>
      <c r="AQ57" s="150" t="s">
        <v>132</v>
      </c>
      <c r="AR57" s="150" t="s">
        <v>132</v>
      </c>
      <c r="AS57" s="150" t="s">
        <v>132</v>
      </c>
      <c r="AT57" s="150" t="s">
        <v>132</v>
      </c>
      <c r="AU57" s="150" t="s">
        <v>132</v>
      </c>
      <c r="AV57" s="150" t="s">
        <v>132</v>
      </c>
      <c r="AW57" s="150" t="s">
        <v>132</v>
      </c>
      <c r="AX57" s="150" t="s">
        <v>132</v>
      </c>
      <c r="AY57" s="150" t="s">
        <v>132</v>
      </c>
      <c r="AZ57" s="150" t="s">
        <v>132</v>
      </c>
      <c r="BA57" s="150" t="s">
        <v>132</v>
      </c>
      <c r="BB57" s="150" t="s">
        <v>132</v>
      </c>
      <c r="BC57" s="150" t="s">
        <v>132</v>
      </c>
      <c r="BD57" s="150" t="s">
        <v>132</v>
      </c>
      <c r="BE57" s="150" t="s">
        <v>132</v>
      </c>
      <c r="BF57" s="150" t="s">
        <v>132</v>
      </c>
      <c r="BG57" s="150" t="s">
        <v>132</v>
      </c>
      <c r="BH57" s="150" t="s">
        <v>132</v>
      </c>
      <c r="BI57" s="150" t="s">
        <v>132</v>
      </c>
      <c r="BJ57" s="150" t="s">
        <v>132</v>
      </c>
      <c r="BK57" s="150" t="s">
        <v>132</v>
      </c>
      <c r="BL57" s="150" t="s">
        <v>132</v>
      </c>
      <c r="BM57" s="150" t="s">
        <v>132</v>
      </c>
      <c r="BN57" s="150" t="s">
        <v>132</v>
      </c>
      <c r="BO57" s="150" t="s">
        <v>132</v>
      </c>
      <c r="BP57" s="150" t="s">
        <v>132</v>
      </c>
      <c r="BQ57" s="150" t="s">
        <v>132</v>
      </c>
      <c r="BR57" s="150" t="s">
        <v>132</v>
      </c>
      <c r="BS57" s="150" t="s">
        <v>132</v>
      </c>
      <c r="BT57" s="150" t="s">
        <v>132</v>
      </c>
      <c r="BU57" s="150" t="s">
        <v>132</v>
      </c>
      <c r="BV57" s="150" t="s">
        <v>132</v>
      </c>
      <c r="BW57" s="150" t="s">
        <v>132</v>
      </c>
      <c r="BX57" s="150" t="s">
        <v>132</v>
      </c>
      <c r="BY57" s="150" t="s">
        <v>132</v>
      </c>
      <c r="BZ57" s="150" t="s">
        <v>132</v>
      </c>
      <c r="CA57" s="150" t="s">
        <v>132</v>
      </c>
      <c r="CB57" s="150" t="s">
        <v>132</v>
      </c>
      <c r="CC57" s="190" t="s">
        <v>132</v>
      </c>
      <c r="CD57" s="190" t="s">
        <v>132</v>
      </c>
      <c r="CE57" s="190" t="s">
        <v>132</v>
      </c>
      <c r="CF57" s="190" t="s">
        <v>132</v>
      </c>
      <c r="CG57" s="190" t="s">
        <v>132</v>
      </c>
      <c r="CH57" s="190" t="s">
        <v>132</v>
      </c>
      <c r="CI57" s="190" t="s">
        <v>132</v>
      </c>
      <c r="CJ57" s="190" t="s">
        <v>132</v>
      </c>
      <c r="CK57" s="190" t="s">
        <v>132</v>
      </c>
      <c r="CL57" s="190" t="s">
        <v>132</v>
      </c>
      <c r="CM57" s="190" t="s">
        <v>132</v>
      </c>
      <c r="CN57" s="190" t="s">
        <v>132</v>
      </c>
      <c r="CO57" s="190" t="s">
        <v>132</v>
      </c>
      <c r="CP57" s="190" t="s">
        <v>132</v>
      </c>
      <c r="CQ57" s="190" t="s">
        <v>132</v>
      </c>
      <c r="CR57" s="190" t="s">
        <v>132</v>
      </c>
      <c r="CS57" s="190" t="s">
        <v>132</v>
      </c>
      <c r="CT57" s="190" t="s">
        <v>132</v>
      </c>
      <c r="CU57" s="190" t="s">
        <v>132</v>
      </c>
      <c r="CV57" s="190" t="s">
        <v>132</v>
      </c>
      <c r="CW57" s="190" t="s">
        <v>132</v>
      </c>
      <c r="CX57" s="190" t="s">
        <v>132</v>
      </c>
      <c r="CY57" s="190" t="s">
        <v>132</v>
      </c>
      <c r="CZ57" s="190" t="s">
        <v>132</v>
      </c>
      <c r="DA57" s="190" t="s">
        <v>132</v>
      </c>
      <c r="DB57" s="190" t="s">
        <v>132</v>
      </c>
      <c r="DC57" s="190" t="s">
        <v>132</v>
      </c>
      <c r="DD57" s="190" t="s">
        <v>132</v>
      </c>
      <c r="DE57" s="190" t="s">
        <v>132</v>
      </c>
      <c r="DF57" s="190" t="s">
        <v>132</v>
      </c>
      <c r="DG57" s="190" t="s">
        <v>132</v>
      </c>
      <c r="DH57" s="190" t="s">
        <v>132</v>
      </c>
    </row>
    <row r="58" spans="1:112">
      <c r="A58" s="150" t="s">
        <v>143</v>
      </c>
      <c r="B58" s="150">
        <v>6</v>
      </c>
      <c r="C58" s="150">
        <v>6</v>
      </c>
      <c r="D58" s="150" t="s">
        <v>233</v>
      </c>
      <c r="E58" s="150" t="s">
        <v>228</v>
      </c>
      <c r="F58" s="150">
        <v>56</v>
      </c>
      <c r="G58" s="150" t="s">
        <v>234</v>
      </c>
      <c r="H58" s="150" t="s">
        <v>136</v>
      </c>
      <c r="I58" s="150" t="s">
        <v>132</v>
      </c>
      <c r="J58" s="150" t="s">
        <v>132</v>
      </c>
      <c r="K58" s="150" t="s">
        <v>132</v>
      </c>
      <c r="L58" s="150" t="s">
        <v>285</v>
      </c>
      <c r="M58" s="156">
        <v>9.3000000000000007</v>
      </c>
      <c r="N58" s="156">
        <v>8.8000000000000007</v>
      </c>
      <c r="O58" s="156">
        <f>2.449*2.8</f>
        <v>6.8571999999999989</v>
      </c>
      <c r="P58" s="156">
        <f>2.449*1.9</f>
        <v>4.6530999999999993</v>
      </c>
      <c r="Q58" s="150">
        <v>239</v>
      </c>
      <c r="R58" s="150">
        <v>216</v>
      </c>
      <c r="S58" s="158">
        <f>2.449*22</f>
        <v>53.878</v>
      </c>
      <c r="T58" s="158">
        <f>2.449*23</f>
        <v>56.326999999999998</v>
      </c>
      <c r="U58" s="150">
        <v>68</v>
      </c>
      <c r="V58" s="150">
        <v>51</v>
      </c>
      <c r="W58" s="158">
        <f>2.449*6</f>
        <v>14.693999999999999</v>
      </c>
      <c r="X58" s="158">
        <f>2.449*6</f>
        <v>14.693999999999999</v>
      </c>
      <c r="Y58" s="150" t="s">
        <v>132</v>
      </c>
      <c r="Z58" s="150" t="s">
        <v>132</v>
      </c>
      <c r="AA58" s="150" t="s">
        <v>132</v>
      </c>
      <c r="AB58" s="150" t="s">
        <v>132</v>
      </c>
      <c r="AC58" s="150" t="s">
        <v>132</v>
      </c>
      <c r="AD58" s="150" t="s">
        <v>132</v>
      </c>
      <c r="AE58" s="150" t="s">
        <v>132</v>
      </c>
      <c r="AF58" s="150" t="s">
        <v>132</v>
      </c>
      <c r="AG58" s="150" t="s">
        <v>132</v>
      </c>
      <c r="AH58" s="150" t="s">
        <v>132</v>
      </c>
      <c r="AI58" s="150" t="s">
        <v>132</v>
      </c>
      <c r="AJ58" s="150" t="s">
        <v>132</v>
      </c>
      <c r="AK58" s="150" t="s">
        <v>132</v>
      </c>
      <c r="AL58" s="150" t="s">
        <v>132</v>
      </c>
      <c r="AM58" s="150" t="s">
        <v>132</v>
      </c>
      <c r="AN58" s="150" t="s">
        <v>132</v>
      </c>
      <c r="AO58" s="150" t="s">
        <v>132</v>
      </c>
      <c r="AP58" s="150" t="s">
        <v>132</v>
      </c>
      <c r="AQ58" s="150" t="s">
        <v>132</v>
      </c>
      <c r="AR58" s="150" t="s">
        <v>132</v>
      </c>
      <c r="AS58" s="150" t="s">
        <v>132</v>
      </c>
      <c r="AT58" s="150" t="s">
        <v>132</v>
      </c>
      <c r="AU58" s="150" t="s">
        <v>132</v>
      </c>
      <c r="AV58" s="150" t="s">
        <v>132</v>
      </c>
      <c r="AW58" s="150" t="s">
        <v>132</v>
      </c>
      <c r="AX58" s="150" t="s">
        <v>132</v>
      </c>
      <c r="AY58" s="150" t="s">
        <v>132</v>
      </c>
      <c r="AZ58" s="150" t="s">
        <v>132</v>
      </c>
      <c r="BA58" s="150" t="s">
        <v>132</v>
      </c>
      <c r="BB58" s="150" t="s">
        <v>132</v>
      </c>
      <c r="BC58" s="150" t="s">
        <v>132</v>
      </c>
      <c r="BD58" s="150" t="s">
        <v>132</v>
      </c>
      <c r="BE58" s="150" t="s">
        <v>132</v>
      </c>
      <c r="BF58" s="150" t="s">
        <v>132</v>
      </c>
      <c r="BG58" s="150" t="s">
        <v>132</v>
      </c>
      <c r="BH58" s="150" t="s">
        <v>132</v>
      </c>
      <c r="BI58" s="150" t="s">
        <v>132</v>
      </c>
      <c r="BJ58" s="150" t="s">
        <v>132</v>
      </c>
      <c r="BK58" s="150" t="s">
        <v>132</v>
      </c>
      <c r="BL58" s="150" t="s">
        <v>132</v>
      </c>
      <c r="BM58" s="150" t="s">
        <v>132</v>
      </c>
      <c r="BN58" s="150" t="s">
        <v>132</v>
      </c>
      <c r="BO58" s="150" t="s">
        <v>132</v>
      </c>
      <c r="BP58" s="150" t="s">
        <v>132</v>
      </c>
      <c r="BQ58" s="150" t="s">
        <v>132</v>
      </c>
      <c r="BR58" s="150" t="s">
        <v>132</v>
      </c>
      <c r="BS58" s="150" t="s">
        <v>132</v>
      </c>
      <c r="BT58" s="150" t="s">
        <v>132</v>
      </c>
      <c r="BU58" s="150" t="s">
        <v>132</v>
      </c>
      <c r="BV58" s="150" t="s">
        <v>132</v>
      </c>
      <c r="BW58" s="150" t="s">
        <v>132</v>
      </c>
      <c r="BX58" s="150" t="s">
        <v>132</v>
      </c>
      <c r="BY58" s="150" t="s">
        <v>132</v>
      </c>
      <c r="BZ58" s="150" t="s">
        <v>132</v>
      </c>
      <c r="CA58" s="150" t="s">
        <v>132</v>
      </c>
      <c r="CB58" s="150" t="s">
        <v>132</v>
      </c>
      <c r="CC58" s="190" t="s">
        <v>132</v>
      </c>
      <c r="CD58" s="190" t="s">
        <v>132</v>
      </c>
      <c r="CE58" s="190" t="s">
        <v>132</v>
      </c>
      <c r="CF58" s="190" t="s">
        <v>132</v>
      </c>
      <c r="CG58" s="190" t="s">
        <v>132</v>
      </c>
      <c r="CH58" s="190" t="s">
        <v>132</v>
      </c>
      <c r="CI58" s="190" t="s">
        <v>132</v>
      </c>
      <c r="CJ58" s="190" t="s">
        <v>132</v>
      </c>
      <c r="CK58" s="190" t="s">
        <v>132</v>
      </c>
      <c r="CL58" s="190" t="s">
        <v>132</v>
      </c>
      <c r="CM58" s="190" t="s">
        <v>132</v>
      </c>
      <c r="CN58" s="190" t="s">
        <v>132</v>
      </c>
      <c r="CO58" s="190" t="s">
        <v>132</v>
      </c>
      <c r="CP58" s="190" t="s">
        <v>132</v>
      </c>
      <c r="CQ58" s="190" t="s">
        <v>132</v>
      </c>
      <c r="CR58" s="190" t="s">
        <v>132</v>
      </c>
      <c r="CS58" s="190" t="s">
        <v>132</v>
      </c>
      <c r="CT58" s="190" t="s">
        <v>132</v>
      </c>
      <c r="CU58" s="190" t="s">
        <v>132</v>
      </c>
      <c r="CV58" s="190" t="s">
        <v>132</v>
      </c>
      <c r="CW58" s="190" t="s">
        <v>132</v>
      </c>
      <c r="CX58" s="190" t="s">
        <v>132</v>
      </c>
      <c r="CY58" s="190" t="s">
        <v>132</v>
      </c>
      <c r="CZ58" s="190" t="s">
        <v>132</v>
      </c>
      <c r="DA58" s="190" t="s">
        <v>132</v>
      </c>
      <c r="DB58" s="190" t="s">
        <v>132</v>
      </c>
      <c r="DC58" s="190" t="s">
        <v>132</v>
      </c>
      <c r="DD58" s="190" t="s">
        <v>132</v>
      </c>
      <c r="DE58" s="190" t="s">
        <v>132</v>
      </c>
      <c r="DF58" s="190" t="s">
        <v>132</v>
      </c>
      <c r="DG58" s="190" t="s">
        <v>132</v>
      </c>
      <c r="DH58" s="190" t="s">
        <v>132</v>
      </c>
    </row>
    <row r="59" spans="1:112">
      <c r="A59" s="150" t="s">
        <v>143</v>
      </c>
      <c r="B59" s="150">
        <v>6</v>
      </c>
      <c r="C59" s="150">
        <v>6</v>
      </c>
      <c r="D59" s="150" t="s">
        <v>233</v>
      </c>
      <c r="E59" s="150" t="s">
        <v>230</v>
      </c>
      <c r="F59" s="150">
        <v>56</v>
      </c>
      <c r="G59" s="150" t="s">
        <v>234</v>
      </c>
      <c r="H59" s="150" t="s">
        <v>136</v>
      </c>
      <c r="I59" s="150" t="s">
        <v>132</v>
      </c>
      <c r="J59" s="150" t="s">
        <v>132</v>
      </c>
      <c r="K59" s="150" t="s">
        <v>132</v>
      </c>
      <c r="L59" s="150" t="s">
        <v>285</v>
      </c>
      <c r="M59" s="156">
        <v>9</v>
      </c>
      <c r="N59" s="156">
        <v>25.7</v>
      </c>
      <c r="O59" s="156">
        <f>2.449*2.2</f>
        <v>5.3878000000000004</v>
      </c>
      <c r="P59" s="156">
        <f>2.449*6.5</f>
        <v>15.918499999999998</v>
      </c>
      <c r="Q59" s="150">
        <v>168</v>
      </c>
      <c r="R59" s="150">
        <v>328</v>
      </c>
      <c r="S59" s="158">
        <f>2.449*44</f>
        <v>107.756</v>
      </c>
      <c r="T59" s="158">
        <f>2.449*23</f>
        <v>56.326999999999998</v>
      </c>
      <c r="U59" s="150">
        <v>63</v>
      </c>
      <c r="V59" s="150">
        <v>103</v>
      </c>
      <c r="W59" s="158">
        <f>2.449*19</f>
        <v>46.530999999999999</v>
      </c>
      <c r="X59" s="158">
        <f>2.449*10</f>
        <v>24.49</v>
      </c>
      <c r="Y59" s="150" t="s">
        <v>132</v>
      </c>
      <c r="Z59" s="150" t="s">
        <v>132</v>
      </c>
      <c r="AA59" s="150" t="s">
        <v>132</v>
      </c>
      <c r="AB59" s="150" t="s">
        <v>132</v>
      </c>
      <c r="AC59" s="150" t="s">
        <v>132</v>
      </c>
      <c r="AD59" s="150" t="s">
        <v>132</v>
      </c>
      <c r="AE59" s="150" t="s">
        <v>132</v>
      </c>
      <c r="AF59" s="150" t="s">
        <v>132</v>
      </c>
      <c r="AG59" s="150" t="s">
        <v>132</v>
      </c>
      <c r="AH59" s="150" t="s">
        <v>132</v>
      </c>
      <c r="AI59" s="150" t="s">
        <v>132</v>
      </c>
      <c r="AJ59" s="150" t="s">
        <v>132</v>
      </c>
      <c r="AK59" s="150" t="s">
        <v>132</v>
      </c>
      <c r="AL59" s="150" t="s">
        <v>132</v>
      </c>
      <c r="AM59" s="150" t="s">
        <v>132</v>
      </c>
      <c r="AN59" s="150" t="s">
        <v>132</v>
      </c>
      <c r="AO59" s="150" t="s">
        <v>132</v>
      </c>
      <c r="AP59" s="150" t="s">
        <v>132</v>
      </c>
      <c r="AQ59" s="150" t="s">
        <v>132</v>
      </c>
      <c r="AR59" s="150" t="s">
        <v>132</v>
      </c>
      <c r="AS59" s="150" t="s">
        <v>132</v>
      </c>
      <c r="AT59" s="150" t="s">
        <v>132</v>
      </c>
      <c r="AU59" s="150" t="s">
        <v>132</v>
      </c>
      <c r="AV59" s="150" t="s">
        <v>132</v>
      </c>
      <c r="AW59" s="150" t="s">
        <v>132</v>
      </c>
      <c r="AX59" s="150" t="s">
        <v>132</v>
      </c>
      <c r="AY59" s="150" t="s">
        <v>132</v>
      </c>
      <c r="AZ59" s="150" t="s">
        <v>132</v>
      </c>
      <c r="BA59" s="150" t="s">
        <v>132</v>
      </c>
      <c r="BB59" s="150" t="s">
        <v>132</v>
      </c>
      <c r="BC59" s="150" t="s">
        <v>132</v>
      </c>
      <c r="BD59" s="150" t="s">
        <v>132</v>
      </c>
      <c r="BE59" s="150" t="s">
        <v>132</v>
      </c>
      <c r="BF59" s="150" t="s">
        <v>132</v>
      </c>
      <c r="BG59" s="150" t="s">
        <v>132</v>
      </c>
      <c r="BH59" s="150" t="s">
        <v>132</v>
      </c>
      <c r="BI59" s="150" t="s">
        <v>132</v>
      </c>
      <c r="BJ59" s="150" t="s">
        <v>132</v>
      </c>
      <c r="BK59" s="150" t="s">
        <v>132</v>
      </c>
      <c r="BL59" s="150" t="s">
        <v>132</v>
      </c>
      <c r="BM59" s="150" t="s">
        <v>132</v>
      </c>
      <c r="BN59" s="150" t="s">
        <v>132</v>
      </c>
      <c r="BO59" s="150" t="s">
        <v>132</v>
      </c>
      <c r="BP59" s="150" t="s">
        <v>132</v>
      </c>
      <c r="BQ59" s="150" t="s">
        <v>132</v>
      </c>
      <c r="BR59" s="150" t="s">
        <v>132</v>
      </c>
      <c r="BS59" s="150" t="s">
        <v>132</v>
      </c>
      <c r="BT59" s="150" t="s">
        <v>132</v>
      </c>
      <c r="BU59" s="150" t="s">
        <v>132</v>
      </c>
      <c r="BV59" s="150" t="s">
        <v>132</v>
      </c>
      <c r="BW59" s="150" t="s">
        <v>132</v>
      </c>
      <c r="BX59" s="150" t="s">
        <v>132</v>
      </c>
      <c r="BY59" s="150" t="s">
        <v>132</v>
      </c>
      <c r="BZ59" s="150" t="s">
        <v>132</v>
      </c>
      <c r="CA59" s="150" t="s">
        <v>132</v>
      </c>
      <c r="CB59" s="150" t="s">
        <v>132</v>
      </c>
      <c r="CC59" s="190" t="s">
        <v>132</v>
      </c>
      <c r="CD59" s="190" t="s">
        <v>132</v>
      </c>
      <c r="CE59" s="190" t="s">
        <v>132</v>
      </c>
      <c r="CF59" s="190" t="s">
        <v>132</v>
      </c>
      <c r="CG59" s="190" t="s">
        <v>132</v>
      </c>
      <c r="CH59" s="190" t="s">
        <v>132</v>
      </c>
      <c r="CI59" s="190" t="s">
        <v>132</v>
      </c>
      <c r="CJ59" s="190" t="s">
        <v>132</v>
      </c>
      <c r="CK59" s="190" t="s">
        <v>132</v>
      </c>
      <c r="CL59" s="190" t="s">
        <v>132</v>
      </c>
      <c r="CM59" s="190" t="s">
        <v>132</v>
      </c>
      <c r="CN59" s="190" t="s">
        <v>132</v>
      </c>
      <c r="CO59" s="190" t="s">
        <v>132</v>
      </c>
      <c r="CP59" s="190" t="s">
        <v>132</v>
      </c>
      <c r="CQ59" s="190" t="s">
        <v>132</v>
      </c>
      <c r="CR59" s="190" t="s">
        <v>132</v>
      </c>
      <c r="CS59" s="190" t="s">
        <v>132</v>
      </c>
      <c r="CT59" s="190" t="s">
        <v>132</v>
      </c>
      <c r="CU59" s="190" t="s">
        <v>132</v>
      </c>
      <c r="CV59" s="190" t="s">
        <v>132</v>
      </c>
      <c r="CW59" s="190" t="s">
        <v>132</v>
      </c>
      <c r="CX59" s="190" t="s">
        <v>132</v>
      </c>
      <c r="CY59" s="190" t="s">
        <v>132</v>
      </c>
      <c r="CZ59" s="190" t="s">
        <v>132</v>
      </c>
      <c r="DA59" s="190" t="s">
        <v>132</v>
      </c>
      <c r="DB59" s="190" t="s">
        <v>132</v>
      </c>
      <c r="DC59" s="190" t="s">
        <v>132</v>
      </c>
      <c r="DD59" s="190" t="s">
        <v>132</v>
      </c>
      <c r="DE59" s="190" t="s">
        <v>132</v>
      </c>
      <c r="DF59" s="190" t="s">
        <v>132</v>
      </c>
      <c r="DG59" s="190" t="s">
        <v>132</v>
      </c>
      <c r="DH59" s="190" t="s">
        <v>132</v>
      </c>
    </row>
    <row r="60" spans="1:112">
      <c r="A60" s="150" t="s">
        <v>143</v>
      </c>
      <c r="B60" s="150">
        <v>6</v>
      </c>
      <c r="C60" s="150">
        <v>6</v>
      </c>
      <c r="D60" s="150" t="s">
        <v>233</v>
      </c>
      <c r="E60" s="150" t="s">
        <v>228</v>
      </c>
      <c r="F60" s="150">
        <v>56</v>
      </c>
      <c r="G60" s="150" t="s">
        <v>234</v>
      </c>
      <c r="H60" s="150" t="s">
        <v>136</v>
      </c>
      <c r="I60" s="150" t="s">
        <v>132</v>
      </c>
      <c r="J60" s="150" t="s">
        <v>132</v>
      </c>
      <c r="K60" s="150" t="s">
        <v>132</v>
      </c>
      <c r="L60" s="150" t="s">
        <v>285</v>
      </c>
      <c r="M60" s="156">
        <v>6.5</v>
      </c>
      <c r="N60" s="156">
        <v>53.8</v>
      </c>
      <c r="O60" s="156">
        <f>2.449*2</f>
        <v>4.8979999999999997</v>
      </c>
      <c r="P60" s="156">
        <f>2.449*3.8</f>
        <v>9.3061999999999987</v>
      </c>
      <c r="Q60" s="150">
        <v>227</v>
      </c>
      <c r="R60" s="150">
        <v>274</v>
      </c>
      <c r="S60" s="158">
        <f>2.449*17</f>
        <v>41.632999999999996</v>
      </c>
      <c r="T60" s="158">
        <f>2.449*19</f>
        <v>46.530999999999999</v>
      </c>
      <c r="U60" s="150">
        <v>86</v>
      </c>
      <c r="V60" s="150">
        <v>101</v>
      </c>
      <c r="W60" s="158">
        <f>2.449*5</f>
        <v>12.244999999999999</v>
      </c>
      <c r="X60" s="158">
        <f>2.449*6</f>
        <v>14.693999999999999</v>
      </c>
      <c r="Y60" s="150" t="s">
        <v>132</v>
      </c>
      <c r="Z60" s="150" t="s">
        <v>132</v>
      </c>
      <c r="AA60" s="150" t="s">
        <v>132</v>
      </c>
      <c r="AB60" s="150" t="s">
        <v>132</v>
      </c>
      <c r="AC60" s="150" t="s">
        <v>132</v>
      </c>
      <c r="AD60" s="150" t="s">
        <v>132</v>
      </c>
      <c r="AE60" s="150" t="s">
        <v>132</v>
      </c>
      <c r="AF60" s="150" t="s">
        <v>132</v>
      </c>
      <c r="AG60" s="150" t="s">
        <v>132</v>
      </c>
      <c r="AH60" s="150" t="s">
        <v>132</v>
      </c>
      <c r="AI60" s="150" t="s">
        <v>132</v>
      </c>
      <c r="AJ60" s="150" t="s">
        <v>132</v>
      </c>
      <c r="AK60" s="150" t="s">
        <v>132</v>
      </c>
      <c r="AL60" s="150" t="s">
        <v>132</v>
      </c>
      <c r="AM60" s="150" t="s">
        <v>132</v>
      </c>
      <c r="AN60" s="150" t="s">
        <v>132</v>
      </c>
      <c r="AO60" s="150" t="s">
        <v>132</v>
      </c>
      <c r="AP60" s="150" t="s">
        <v>132</v>
      </c>
      <c r="AQ60" s="150" t="s">
        <v>132</v>
      </c>
      <c r="AR60" s="150" t="s">
        <v>132</v>
      </c>
      <c r="AS60" s="150" t="s">
        <v>132</v>
      </c>
      <c r="AT60" s="150" t="s">
        <v>132</v>
      </c>
      <c r="AU60" s="150" t="s">
        <v>132</v>
      </c>
      <c r="AV60" s="150" t="s">
        <v>132</v>
      </c>
      <c r="AW60" s="150" t="s">
        <v>132</v>
      </c>
      <c r="AX60" s="150" t="s">
        <v>132</v>
      </c>
      <c r="AY60" s="150" t="s">
        <v>132</v>
      </c>
      <c r="AZ60" s="150" t="s">
        <v>132</v>
      </c>
      <c r="BA60" s="150" t="s">
        <v>132</v>
      </c>
      <c r="BB60" s="150" t="s">
        <v>132</v>
      </c>
      <c r="BC60" s="150" t="s">
        <v>132</v>
      </c>
      <c r="BD60" s="150" t="s">
        <v>132</v>
      </c>
      <c r="BE60" s="150" t="s">
        <v>132</v>
      </c>
      <c r="BF60" s="150" t="s">
        <v>132</v>
      </c>
      <c r="BG60" s="150" t="s">
        <v>132</v>
      </c>
      <c r="BH60" s="150" t="s">
        <v>132</v>
      </c>
      <c r="BI60" s="150" t="s">
        <v>132</v>
      </c>
      <c r="BJ60" s="150" t="s">
        <v>132</v>
      </c>
      <c r="BK60" s="150" t="s">
        <v>132</v>
      </c>
      <c r="BL60" s="150" t="s">
        <v>132</v>
      </c>
      <c r="BM60" s="150" t="s">
        <v>132</v>
      </c>
      <c r="BN60" s="150" t="s">
        <v>132</v>
      </c>
      <c r="BO60" s="150" t="s">
        <v>132</v>
      </c>
      <c r="BP60" s="150" t="s">
        <v>132</v>
      </c>
      <c r="BQ60" s="150" t="s">
        <v>132</v>
      </c>
      <c r="BR60" s="150" t="s">
        <v>132</v>
      </c>
      <c r="BS60" s="150" t="s">
        <v>132</v>
      </c>
      <c r="BT60" s="150" t="s">
        <v>132</v>
      </c>
      <c r="BU60" s="150" t="s">
        <v>132</v>
      </c>
      <c r="BV60" s="150" t="s">
        <v>132</v>
      </c>
      <c r="BW60" s="150" t="s">
        <v>132</v>
      </c>
      <c r="BX60" s="150" t="s">
        <v>132</v>
      </c>
      <c r="BY60" s="150" t="s">
        <v>132</v>
      </c>
      <c r="BZ60" s="150" t="s">
        <v>132</v>
      </c>
      <c r="CA60" s="150" t="s">
        <v>132</v>
      </c>
      <c r="CB60" s="150" t="s">
        <v>132</v>
      </c>
      <c r="CC60" s="190" t="s">
        <v>132</v>
      </c>
      <c r="CD60" s="190" t="s">
        <v>132</v>
      </c>
      <c r="CE60" s="190" t="s">
        <v>132</v>
      </c>
      <c r="CF60" s="190" t="s">
        <v>132</v>
      </c>
      <c r="CG60" s="190" t="s">
        <v>132</v>
      </c>
      <c r="CH60" s="190" t="s">
        <v>132</v>
      </c>
      <c r="CI60" s="190" t="s">
        <v>132</v>
      </c>
      <c r="CJ60" s="190" t="s">
        <v>132</v>
      </c>
      <c r="CK60" s="190" t="s">
        <v>132</v>
      </c>
      <c r="CL60" s="190" t="s">
        <v>132</v>
      </c>
      <c r="CM60" s="190" t="s">
        <v>132</v>
      </c>
      <c r="CN60" s="190" t="s">
        <v>132</v>
      </c>
      <c r="CO60" s="190" t="s">
        <v>132</v>
      </c>
      <c r="CP60" s="190" t="s">
        <v>132</v>
      </c>
      <c r="CQ60" s="190" t="s">
        <v>132</v>
      </c>
      <c r="CR60" s="190" t="s">
        <v>132</v>
      </c>
      <c r="CS60" s="190" t="s">
        <v>132</v>
      </c>
      <c r="CT60" s="190" t="s">
        <v>132</v>
      </c>
      <c r="CU60" s="190" t="s">
        <v>132</v>
      </c>
      <c r="CV60" s="190" t="s">
        <v>132</v>
      </c>
      <c r="CW60" s="190" t="s">
        <v>132</v>
      </c>
      <c r="CX60" s="190" t="s">
        <v>132</v>
      </c>
      <c r="CY60" s="190" t="s">
        <v>132</v>
      </c>
      <c r="CZ60" s="190" t="s">
        <v>132</v>
      </c>
      <c r="DA60" s="190" t="s">
        <v>132</v>
      </c>
      <c r="DB60" s="190" t="s">
        <v>132</v>
      </c>
      <c r="DC60" s="190" t="s">
        <v>132</v>
      </c>
      <c r="DD60" s="190" t="s">
        <v>132</v>
      </c>
      <c r="DE60" s="190" t="s">
        <v>132</v>
      </c>
      <c r="DF60" s="190" t="s">
        <v>132</v>
      </c>
      <c r="DG60" s="190" t="s">
        <v>132</v>
      </c>
      <c r="DH60" s="190" t="s">
        <v>132</v>
      </c>
    </row>
    <row r="61" spans="1:112">
      <c r="A61" s="150" t="s">
        <v>143</v>
      </c>
      <c r="B61" s="150">
        <v>6</v>
      </c>
      <c r="C61" s="150">
        <v>6</v>
      </c>
      <c r="D61" s="150" t="s">
        <v>233</v>
      </c>
      <c r="E61" s="150" t="s">
        <v>230</v>
      </c>
      <c r="F61" s="150">
        <v>56</v>
      </c>
      <c r="G61" s="150" t="s">
        <v>234</v>
      </c>
      <c r="H61" s="150" t="s">
        <v>136</v>
      </c>
      <c r="I61" s="150" t="s">
        <v>132</v>
      </c>
      <c r="J61" s="150" t="s">
        <v>132</v>
      </c>
      <c r="K61" s="150" t="s">
        <v>132</v>
      </c>
      <c r="L61" s="150" t="s">
        <v>285</v>
      </c>
      <c r="M61" s="156">
        <v>15.8</v>
      </c>
      <c r="N61" s="156">
        <v>48</v>
      </c>
      <c r="O61" s="156">
        <f>2.449*5.4</f>
        <v>13.224600000000001</v>
      </c>
      <c r="P61" s="156">
        <f>2.449*6.3</f>
        <v>15.428699999999999</v>
      </c>
      <c r="Q61" s="150">
        <v>174</v>
      </c>
      <c r="R61" s="150">
        <v>340</v>
      </c>
      <c r="S61" s="158">
        <f>2.449*19</f>
        <v>46.530999999999999</v>
      </c>
      <c r="T61" s="158">
        <f>2.449*30</f>
        <v>73.47</v>
      </c>
      <c r="U61" s="150">
        <v>60</v>
      </c>
      <c r="V61" s="150">
        <v>142</v>
      </c>
      <c r="W61" s="158">
        <f>2.449*9</f>
        <v>22.040999999999997</v>
      </c>
      <c r="X61" s="158">
        <f>2.449*14</f>
        <v>34.286000000000001</v>
      </c>
      <c r="Y61" s="150" t="s">
        <v>132</v>
      </c>
      <c r="Z61" s="150" t="s">
        <v>132</v>
      </c>
      <c r="AA61" s="150" t="s">
        <v>132</v>
      </c>
      <c r="AB61" s="150" t="s">
        <v>132</v>
      </c>
      <c r="AC61" s="150" t="s">
        <v>132</v>
      </c>
      <c r="AD61" s="150" t="s">
        <v>132</v>
      </c>
      <c r="AE61" s="150" t="s">
        <v>132</v>
      </c>
      <c r="AF61" s="150" t="s">
        <v>132</v>
      </c>
      <c r="AG61" s="150" t="s">
        <v>132</v>
      </c>
      <c r="AH61" s="150" t="s">
        <v>132</v>
      </c>
      <c r="AI61" s="150" t="s">
        <v>132</v>
      </c>
      <c r="AJ61" s="150" t="s">
        <v>132</v>
      </c>
      <c r="AK61" s="150" t="s">
        <v>132</v>
      </c>
      <c r="AL61" s="150" t="s">
        <v>132</v>
      </c>
      <c r="AM61" s="150" t="s">
        <v>132</v>
      </c>
      <c r="AN61" s="150" t="s">
        <v>132</v>
      </c>
      <c r="AO61" s="150" t="s">
        <v>132</v>
      </c>
      <c r="AP61" s="150" t="s">
        <v>132</v>
      </c>
      <c r="AQ61" s="150" t="s">
        <v>132</v>
      </c>
      <c r="AR61" s="150" t="s">
        <v>132</v>
      </c>
      <c r="AS61" s="150" t="s">
        <v>132</v>
      </c>
      <c r="AT61" s="150" t="s">
        <v>132</v>
      </c>
      <c r="AU61" s="150" t="s">
        <v>132</v>
      </c>
      <c r="AV61" s="150" t="s">
        <v>132</v>
      </c>
      <c r="AW61" s="150" t="s">
        <v>132</v>
      </c>
      <c r="AX61" s="150" t="s">
        <v>132</v>
      </c>
      <c r="AY61" s="150" t="s">
        <v>132</v>
      </c>
      <c r="AZ61" s="150" t="s">
        <v>132</v>
      </c>
      <c r="BA61" s="150" t="s">
        <v>132</v>
      </c>
      <c r="BB61" s="150" t="s">
        <v>132</v>
      </c>
      <c r="BC61" s="150" t="s">
        <v>132</v>
      </c>
      <c r="BD61" s="150" t="s">
        <v>132</v>
      </c>
      <c r="BE61" s="150" t="s">
        <v>132</v>
      </c>
      <c r="BF61" s="150" t="s">
        <v>132</v>
      </c>
      <c r="BG61" s="150" t="s">
        <v>132</v>
      </c>
      <c r="BH61" s="150" t="s">
        <v>132</v>
      </c>
      <c r="BI61" s="150" t="s">
        <v>132</v>
      </c>
      <c r="BJ61" s="150" t="s">
        <v>132</v>
      </c>
      <c r="BK61" s="150" t="s">
        <v>132</v>
      </c>
      <c r="BL61" s="150" t="s">
        <v>132</v>
      </c>
      <c r="BM61" s="150" t="s">
        <v>132</v>
      </c>
      <c r="BN61" s="150" t="s">
        <v>132</v>
      </c>
      <c r="BO61" s="150" t="s">
        <v>132</v>
      </c>
      <c r="BP61" s="150" t="s">
        <v>132</v>
      </c>
      <c r="BQ61" s="150" t="s">
        <v>132</v>
      </c>
      <c r="BR61" s="150" t="s">
        <v>132</v>
      </c>
      <c r="BS61" s="150" t="s">
        <v>132</v>
      </c>
      <c r="BT61" s="150" t="s">
        <v>132</v>
      </c>
      <c r="BU61" s="150" t="s">
        <v>132</v>
      </c>
      <c r="BV61" s="150" t="s">
        <v>132</v>
      </c>
      <c r="BW61" s="150" t="s">
        <v>132</v>
      </c>
      <c r="BX61" s="150" t="s">
        <v>132</v>
      </c>
      <c r="BY61" s="150" t="s">
        <v>132</v>
      </c>
      <c r="BZ61" s="150" t="s">
        <v>132</v>
      </c>
      <c r="CA61" s="150" t="s">
        <v>132</v>
      </c>
      <c r="CB61" s="150" t="s">
        <v>132</v>
      </c>
      <c r="CC61" s="190" t="s">
        <v>132</v>
      </c>
      <c r="CD61" s="190" t="s">
        <v>132</v>
      </c>
      <c r="CE61" s="190" t="s">
        <v>132</v>
      </c>
      <c r="CF61" s="190" t="s">
        <v>132</v>
      </c>
      <c r="CG61" s="190" t="s">
        <v>132</v>
      </c>
      <c r="CH61" s="190" t="s">
        <v>132</v>
      </c>
      <c r="CI61" s="190" t="s">
        <v>132</v>
      </c>
      <c r="CJ61" s="190" t="s">
        <v>132</v>
      </c>
      <c r="CK61" s="190" t="s">
        <v>132</v>
      </c>
      <c r="CL61" s="190" t="s">
        <v>132</v>
      </c>
      <c r="CM61" s="190" t="s">
        <v>132</v>
      </c>
      <c r="CN61" s="190" t="s">
        <v>132</v>
      </c>
      <c r="CO61" s="190" t="s">
        <v>132</v>
      </c>
      <c r="CP61" s="190" t="s">
        <v>132</v>
      </c>
      <c r="CQ61" s="190" t="s">
        <v>132</v>
      </c>
      <c r="CR61" s="190" t="s">
        <v>132</v>
      </c>
      <c r="CS61" s="190" t="s">
        <v>132</v>
      </c>
      <c r="CT61" s="190" t="s">
        <v>132</v>
      </c>
      <c r="CU61" s="190" t="s">
        <v>132</v>
      </c>
      <c r="CV61" s="190" t="s">
        <v>132</v>
      </c>
      <c r="CW61" s="190" t="s">
        <v>132</v>
      </c>
      <c r="CX61" s="190" t="s">
        <v>132</v>
      </c>
      <c r="CY61" s="190" t="s">
        <v>132</v>
      </c>
      <c r="CZ61" s="190" t="s">
        <v>132</v>
      </c>
      <c r="DA61" s="190" t="s">
        <v>132</v>
      </c>
      <c r="DB61" s="190" t="s">
        <v>132</v>
      </c>
      <c r="DC61" s="190" t="s">
        <v>132</v>
      </c>
      <c r="DD61" s="190" t="s">
        <v>132</v>
      </c>
      <c r="DE61" s="190" t="s">
        <v>132</v>
      </c>
      <c r="DF61" s="190" t="s">
        <v>132</v>
      </c>
      <c r="DG61" s="190" t="s">
        <v>132</v>
      </c>
      <c r="DH61" s="190" t="s">
        <v>132</v>
      </c>
    </row>
    <row r="62" spans="1:112">
      <c r="A62" s="150" t="s">
        <v>144</v>
      </c>
      <c r="B62" s="150">
        <v>3</v>
      </c>
      <c r="C62" s="150">
        <v>3</v>
      </c>
      <c r="D62" s="150" t="s">
        <v>233</v>
      </c>
      <c r="E62" s="150" t="s">
        <v>229</v>
      </c>
      <c r="F62" s="150">
        <v>56</v>
      </c>
      <c r="G62" s="150" t="s">
        <v>234</v>
      </c>
      <c r="H62" s="150" t="s">
        <v>136</v>
      </c>
      <c r="I62" s="150" t="s">
        <v>132</v>
      </c>
      <c r="J62" s="150" t="s">
        <v>132</v>
      </c>
      <c r="K62" s="150" t="s">
        <v>132</v>
      </c>
      <c r="L62" s="150" t="s">
        <v>132</v>
      </c>
      <c r="M62" s="150">
        <v>0</v>
      </c>
      <c r="N62" s="150">
        <v>73</v>
      </c>
      <c r="O62" s="152">
        <v>0</v>
      </c>
      <c r="P62" s="152">
        <v>5.1899999999999995</v>
      </c>
      <c r="Q62" s="150" t="s">
        <v>132</v>
      </c>
      <c r="R62" s="150" t="s">
        <v>132</v>
      </c>
      <c r="S62" s="150" t="s">
        <v>132</v>
      </c>
      <c r="T62" s="150" t="s">
        <v>132</v>
      </c>
      <c r="U62" s="150" t="s">
        <v>132</v>
      </c>
      <c r="V62" s="150" t="s">
        <v>132</v>
      </c>
      <c r="W62" s="150" t="s">
        <v>132</v>
      </c>
      <c r="X62" s="150" t="s">
        <v>132</v>
      </c>
      <c r="Y62" s="150" t="s">
        <v>132</v>
      </c>
      <c r="Z62" s="150" t="s">
        <v>132</v>
      </c>
      <c r="AA62" s="150" t="s">
        <v>132</v>
      </c>
      <c r="AB62" s="150" t="s">
        <v>132</v>
      </c>
      <c r="AC62" s="150" t="s">
        <v>132</v>
      </c>
      <c r="AD62" s="150" t="s">
        <v>132</v>
      </c>
      <c r="AE62" s="150" t="s">
        <v>132</v>
      </c>
      <c r="AF62" s="150" t="s">
        <v>132</v>
      </c>
      <c r="AG62" s="150" t="s">
        <v>132</v>
      </c>
      <c r="AH62" s="150" t="s">
        <v>132</v>
      </c>
      <c r="AI62" s="150" t="s">
        <v>132</v>
      </c>
      <c r="AJ62" s="150" t="s">
        <v>132</v>
      </c>
      <c r="AK62" s="150" t="s">
        <v>132</v>
      </c>
      <c r="AL62" s="150" t="s">
        <v>132</v>
      </c>
      <c r="AM62" s="150" t="s">
        <v>132</v>
      </c>
      <c r="AN62" s="150" t="s">
        <v>132</v>
      </c>
      <c r="AO62" s="150" t="s">
        <v>132</v>
      </c>
      <c r="AP62" s="150" t="s">
        <v>132</v>
      </c>
      <c r="AQ62" s="150" t="s">
        <v>132</v>
      </c>
      <c r="AR62" s="150" t="s">
        <v>132</v>
      </c>
      <c r="AS62" s="150" t="s">
        <v>132</v>
      </c>
      <c r="AT62" s="150" t="s">
        <v>132</v>
      </c>
      <c r="AU62" s="150" t="s">
        <v>132</v>
      </c>
      <c r="AV62" s="150" t="s">
        <v>132</v>
      </c>
      <c r="AW62" s="150" t="s">
        <v>132</v>
      </c>
      <c r="AX62" s="150" t="s">
        <v>132</v>
      </c>
      <c r="AY62" s="150" t="s">
        <v>132</v>
      </c>
      <c r="AZ62" s="150" t="s">
        <v>132</v>
      </c>
      <c r="BA62" s="150" t="s">
        <v>132</v>
      </c>
      <c r="BB62" s="150" t="s">
        <v>132</v>
      </c>
      <c r="BC62" s="150" t="s">
        <v>132</v>
      </c>
      <c r="BD62" s="150" t="s">
        <v>132</v>
      </c>
      <c r="BE62" s="150" t="s">
        <v>132</v>
      </c>
      <c r="BF62" s="150" t="s">
        <v>132</v>
      </c>
      <c r="BG62" s="150" t="s">
        <v>132</v>
      </c>
      <c r="BH62" s="150" t="s">
        <v>132</v>
      </c>
      <c r="BI62" s="150" t="s">
        <v>132</v>
      </c>
      <c r="BJ62" s="150" t="s">
        <v>132</v>
      </c>
      <c r="BK62" s="150" t="s">
        <v>132</v>
      </c>
      <c r="BL62" s="150" t="s">
        <v>132</v>
      </c>
      <c r="BM62" s="150" t="s">
        <v>132</v>
      </c>
      <c r="BN62" s="150" t="s">
        <v>132</v>
      </c>
      <c r="BO62" s="150" t="s">
        <v>132</v>
      </c>
      <c r="BP62" s="150" t="s">
        <v>132</v>
      </c>
      <c r="BQ62" s="150" t="s">
        <v>132</v>
      </c>
      <c r="BR62" s="150" t="s">
        <v>132</v>
      </c>
      <c r="BS62" s="150" t="s">
        <v>132</v>
      </c>
      <c r="BT62" s="150" t="s">
        <v>132</v>
      </c>
      <c r="BU62" s="150" t="s">
        <v>132</v>
      </c>
      <c r="BV62" s="150" t="s">
        <v>132</v>
      </c>
      <c r="BW62" s="150" t="s">
        <v>132</v>
      </c>
      <c r="BX62" s="150" t="s">
        <v>132</v>
      </c>
      <c r="BY62" s="150" t="s">
        <v>132</v>
      </c>
      <c r="BZ62" s="150" t="s">
        <v>132</v>
      </c>
      <c r="CA62" s="150" t="s">
        <v>132</v>
      </c>
      <c r="CB62" s="150" t="s">
        <v>132</v>
      </c>
      <c r="CC62" s="190" t="s">
        <v>132</v>
      </c>
      <c r="CD62" s="190" t="s">
        <v>132</v>
      </c>
      <c r="CE62" s="190" t="s">
        <v>132</v>
      </c>
      <c r="CF62" s="190" t="s">
        <v>132</v>
      </c>
      <c r="CG62" s="190" t="s">
        <v>132</v>
      </c>
      <c r="CH62" s="190" t="s">
        <v>132</v>
      </c>
      <c r="CI62" s="190" t="s">
        <v>132</v>
      </c>
      <c r="CJ62" s="190" t="s">
        <v>132</v>
      </c>
      <c r="CK62" s="190" t="s">
        <v>132</v>
      </c>
      <c r="CL62" s="190" t="s">
        <v>132</v>
      </c>
      <c r="CM62" s="190" t="s">
        <v>132</v>
      </c>
      <c r="CN62" s="190" t="s">
        <v>132</v>
      </c>
      <c r="CO62" s="190" t="s">
        <v>132</v>
      </c>
      <c r="CP62" s="190" t="s">
        <v>132</v>
      </c>
      <c r="CQ62" s="190" t="s">
        <v>132</v>
      </c>
      <c r="CR62" s="190" t="s">
        <v>132</v>
      </c>
      <c r="CS62" s="190" t="s">
        <v>132</v>
      </c>
      <c r="CT62" s="190" t="s">
        <v>132</v>
      </c>
      <c r="CU62" s="190" t="s">
        <v>132</v>
      </c>
      <c r="CV62" s="190" t="s">
        <v>132</v>
      </c>
      <c r="CW62" s="190" t="s">
        <v>132</v>
      </c>
      <c r="CX62" s="190" t="s">
        <v>132</v>
      </c>
      <c r="CY62" s="190" t="s">
        <v>132</v>
      </c>
      <c r="CZ62" s="190" t="s">
        <v>132</v>
      </c>
      <c r="DA62" s="190" t="s">
        <v>132</v>
      </c>
      <c r="DB62" s="190" t="s">
        <v>132</v>
      </c>
      <c r="DC62" s="190" t="s">
        <v>132</v>
      </c>
      <c r="DD62" s="190" t="s">
        <v>132</v>
      </c>
      <c r="DE62" s="190" t="s">
        <v>132</v>
      </c>
      <c r="DF62" s="190" t="s">
        <v>132</v>
      </c>
      <c r="DG62" s="190" t="s">
        <v>132</v>
      </c>
      <c r="DH62" s="190" t="s">
        <v>132</v>
      </c>
    </row>
    <row r="63" spans="1:112">
      <c r="A63" s="150" t="s">
        <v>144</v>
      </c>
      <c r="B63" s="150">
        <v>3</v>
      </c>
      <c r="C63" s="150">
        <v>3</v>
      </c>
      <c r="D63" s="150" t="s">
        <v>233</v>
      </c>
      <c r="E63" s="150" t="s">
        <v>230</v>
      </c>
      <c r="F63" s="150">
        <v>56</v>
      </c>
      <c r="G63" s="150" t="s">
        <v>234</v>
      </c>
      <c r="H63" s="150" t="s">
        <v>136</v>
      </c>
      <c r="I63" s="150" t="s">
        <v>132</v>
      </c>
      <c r="J63" s="150" t="s">
        <v>132</v>
      </c>
      <c r="K63" s="150" t="s">
        <v>132</v>
      </c>
      <c r="L63" s="150" t="s">
        <v>132</v>
      </c>
      <c r="M63" s="150">
        <v>19</v>
      </c>
      <c r="N63" s="150">
        <v>88</v>
      </c>
      <c r="O63" s="152">
        <v>5.1899999999999995</v>
      </c>
      <c r="P63" s="152">
        <v>3.46</v>
      </c>
      <c r="Q63" s="150" t="s">
        <v>132</v>
      </c>
      <c r="R63" s="150" t="s">
        <v>132</v>
      </c>
      <c r="S63" s="150" t="s">
        <v>132</v>
      </c>
      <c r="T63" s="150" t="s">
        <v>132</v>
      </c>
      <c r="U63" s="150" t="s">
        <v>132</v>
      </c>
      <c r="V63" s="150" t="s">
        <v>132</v>
      </c>
      <c r="W63" s="150" t="s">
        <v>132</v>
      </c>
      <c r="X63" s="150" t="s">
        <v>132</v>
      </c>
      <c r="Y63" s="150" t="s">
        <v>132</v>
      </c>
      <c r="Z63" s="150" t="s">
        <v>132</v>
      </c>
      <c r="AA63" s="150" t="s">
        <v>132</v>
      </c>
      <c r="AB63" s="150" t="s">
        <v>132</v>
      </c>
      <c r="AC63" s="150" t="s">
        <v>132</v>
      </c>
      <c r="AD63" s="150" t="s">
        <v>132</v>
      </c>
      <c r="AE63" s="150" t="s">
        <v>132</v>
      </c>
      <c r="AF63" s="150" t="s">
        <v>132</v>
      </c>
      <c r="AG63" s="150" t="s">
        <v>132</v>
      </c>
      <c r="AH63" s="150" t="s">
        <v>132</v>
      </c>
      <c r="AI63" s="150" t="s">
        <v>132</v>
      </c>
      <c r="AJ63" s="150" t="s">
        <v>132</v>
      </c>
      <c r="AK63" s="150" t="s">
        <v>132</v>
      </c>
      <c r="AL63" s="150" t="s">
        <v>132</v>
      </c>
      <c r="AM63" s="150" t="s">
        <v>132</v>
      </c>
      <c r="AN63" s="150" t="s">
        <v>132</v>
      </c>
      <c r="AO63" s="150" t="s">
        <v>132</v>
      </c>
      <c r="AP63" s="150" t="s">
        <v>132</v>
      </c>
      <c r="AQ63" s="150" t="s">
        <v>132</v>
      </c>
      <c r="AR63" s="150" t="s">
        <v>132</v>
      </c>
      <c r="AS63" s="150" t="s">
        <v>132</v>
      </c>
      <c r="AT63" s="150" t="s">
        <v>132</v>
      </c>
      <c r="AU63" s="150" t="s">
        <v>132</v>
      </c>
      <c r="AV63" s="150" t="s">
        <v>132</v>
      </c>
      <c r="AW63" s="150" t="s">
        <v>132</v>
      </c>
      <c r="AX63" s="150" t="s">
        <v>132</v>
      </c>
      <c r="AY63" s="150" t="s">
        <v>132</v>
      </c>
      <c r="AZ63" s="150" t="s">
        <v>132</v>
      </c>
      <c r="BA63" s="150" t="s">
        <v>132</v>
      </c>
      <c r="BB63" s="150" t="s">
        <v>132</v>
      </c>
      <c r="BC63" s="150" t="s">
        <v>132</v>
      </c>
      <c r="BD63" s="150" t="s">
        <v>132</v>
      </c>
      <c r="BE63" s="150" t="s">
        <v>132</v>
      </c>
      <c r="BF63" s="150" t="s">
        <v>132</v>
      </c>
      <c r="BG63" s="150" t="s">
        <v>132</v>
      </c>
      <c r="BH63" s="150" t="s">
        <v>132</v>
      </c>
      <c r="BI63" s="150" t="s">
        <v>132</v>
      </c>
      <c r="BJ63" s="150" t="s">
        <v>132</v>
      </c>
      <c r="BK63" s="150" t="s">
        <v>132</v>
      </c>
      <c r="BL63" s="150" t="s">
        <v>132</v>
      </c>
      <c r="BM63" s="150" t="s">
        <v>132</v>
      </c>
      <c r="BN63" s="150" t="s">
        <v>132</v>
      </c>
      <c r="BO63" s="150" t="s">
        <v>132</v>
      </c>
      <c r="BP63" s="150" t="s">
        <v>132</v>
      </c>
      <c r="BQ63" s="150" t="s">
        <v>132</v>
      </c>
      <c r="BR63" s="150" t="s">
        <v>132</v>
      </c>
      <c r="BS63" s="150" t="s">
        <v>132</v>
      </c>
      <c r="BT63" s="150" t="s">
        <v>132</v>
      </c>
      <c r="BU63" s="150" t="s">
        <v>132</v>
      </c>
      <c r="BV63" s="150" t="s">
        <v>132</v>
      </c>
      <c r="BW63" s="150" t="s">
        <v>132</v>
      </c>
      <c r="BX63" s="150" t="s">
        <v>132</v>
      </c>
      <c r="BY63" s="150" t="s">
        <v>132</v>
      </c>
      <c r="BZ63" s="150" t="s">
        <v>132</v>
      </c>
      <c r="CA63" s="150" t="s">
        <v>132</v>
      </c>
      <c r="CB63" s="150" t="s">
        <v>132</v>
      </c>
      <c r="CC63" s="190" t="s">
        <v>132</v>
      </c>
      <c r="CD63" s="190" t="s">
        <v>132</v>
      </c>
      <c r="CE63" s="190" t="s">
        <v>132</v>
      </c>
      <c r="CF63" s="190" t="s">
        <v>132</v>
      </c>
      <c r="CG63" s="190" t="s">
        <v>132</v>
      </c>
      <c r="CH63" s="190" t="s">
        <v>132</v>
      </c>
      <c r="CI63" s="190" t="s">
        <v>132</v>
      </c>
      <c r="CJ63" s="190" t="s">
        <v>132</v>
      </c>
      <c r="CK63" s="190" t="s">
        <v>132</v>
      </c>
      <c r="CL63" s="190" t="s">
        <v>132</v>
      </c>
      <c r="CM63" s="190" t="s">
        <v>132</v>
      </c>
      <c r="CN63" s="190" t="s">
        <v>132</v>
      </c>
      <c r="CO63" s="190" t="s">
        <v>132</v>
      </c>
      <c r="CP63" s="190" t="s">
        <v>132</v>
      </c>
      <c r="CQ63" s="190" t="s">
        <v>132</v>
      </c>
      <c r="CR63" s="190" t="s">
        <v>132</v>
      </c>
      <c r="CS63" s="190" t="s">
        <v>132</v>
      </c>
      <c r="CT63" s="190" t="s">
        <v>132</v>
      </c>
      <c r="CU63" s="190" t="s">
        <v>132</v>
      </c>
      <c r="CV63" s="190" t="s">
        <v>132</v>
      </c>
      <c r="CW63" s="190" t="s">
        <v>132</v>
      </c>
      <c r="CX63" s="190" t="s">
        <v>132</v>
      </c>
      <c r="CY63" s="190" t="s">
        <v>132</v>
      </c>
      <c r="CZ63" s="190" t="s">
        <v>132</v>
      </c>
      <c r="DA63" s="190" t="s">
        <v>132</v>
      </c>
      <c r="DB63" s="190" t="s">
        <v>132</v>
      </c>
      <c r="DC63" s="190" t="s">
        <v>132</v>
      </c>
      <c r="DD63" s="190" t="s">
        <v>132</v>
      </c>
      <c r="DE63" s="190" t="s">
        <v>132</v>
      </c>
      <c r="DF63" s="190" t="s">
        <v>132</v>
      </c>
      <c r="DG63" s="190" t="s">
        <v>132</v>
      </c>
      <c r="DH63" s="190" t="s">
        <v>132</v>
      </c>
    </row>
    <row r="64" spans="1:112">
      <c r="A64" s="150" t="s">
        <v>144</v>
      </c>
      <c r="B64" s="150">
        <v>3</v>
      </c>
      <c r="C64" s="150">
        <v>3</v>
      </c>
      <c r="D64" s="150" t="s">
        <v>233</v>
      </c>
      <c r="E64" s="150" t="s">
        <v>228</v>
      </c>
      <c r="F64" s="150">
        <v>56</v>
      </c>
      <c r="G64" s="150" t="s">
        <v>234</v>
      </c>
      <c r="H64" s="150" t="s">
        <v>136</v>
      </c>
      <c r="I64" s="150" t="s">
        <v>132</v>
      </c>
      <c r="J64" s="150" t="s">
        <v>132</v>
      </c>
      <c r="K64" s="150" t="s">
        <v>132</v>
      </c>
      <c r="L64" s="150" t="s">
        <v>132</v>
      </c>
      <c r="M64" s="150">
        <v>0</v>
      </c>
      <c r="N64" s="150">
        <v>56</v>
      </c>
      <c r="O64" s="152">
        <v>0</v>
      </c>
      <c r="P64" s="152">
        <v>3.46</v>
      </c>
      <c r="Q64" s="150" t="s">
        <v>132</v>
      </c>
      <c r="R64" s="150" t="s">
        <v>132</v>
      </c>
      <c r="S64" s="150" t="s">
        <v>132</v>
      </c>
      <c r="T64" s="150" t="s">
        <v>132</v>
      </c>
      <c r="U64" s="150" t="s">
        <v>132</v>
      </c>
      <c r="V64" s="150" t="s">
        <v>132</v>
      </c>
      <c r="W64" s="150" t="s">
        <v>132</v>
      </c>
      <c r="X64" s="150" t="s">
        <v>132</v>
      </c>
      <c r="Y64" s="150" t="s">
        <v>132</v>
      </c>
      <c r="Z64" s="150" t="s">
        <v>132</v>
      </c>
      <c r="AA64" s="150" t="s">
        <v>132</v>
      </c>
      <c r="AB64" s="150" t="s">
        <v>132</v>
      </c>
      <c r="AC64" s="150" t="s">
        <v>132</v>
      </c>
      <c r="AD64" s="150" t="s">
        <v>132</v>
      </c>
      <c r="AE64" s="150" t="s">
        <v>132</v>
      </c>
      <c r="AF64" s="150" t="s">
        <v>132</v>
      </c>
      <c r="AG64" s="150" t="s">
        <v>132</v>
      </c>
      <c r="AH64" s="150" t="s">
        <v>132</v>
      </c>
      <c r="AI64" s="150" t="s">
        <v>132</v>
      </c>
      <c r="AJ64" s="150" t="s">
        <v>132</v>
      </c>
      <c r="AK64" s="150" t="s">
        <v>132</v>
      </c>
      <c r="AL64" s="150" t="s">
        <v>132</v>
      </c>
      <c r="AM64" s="150" t="s">
        <v>132</v>
      </c>
      <c r="AN64" s="150" t="s">
        <v>132</v>
      </c>
      <c r="AO64" s="150" t="s">
        <v>132</v>
      </c>
      <c r="AP64" s="150" t="s">
        <v>132</v>
      </c>
      <c r="AQ64" s="150" t="s">
        <v>132</v>
      </c>
      <c r="AR64" s="150" t="s">
        <v>132</v>
      </c>
      <c r="AS64" s="150" t="s">
        <v>132</v>
      </c>
      <c r="AT64" s="150" t="s">
        <v>132</v>
      </c>
      <c r="AU64" s="150" t="s">
        <v>132</v>
      </c>
      <c r="AV64" s="150" t="s">
        <v>132</v>
      </c>
      <c r="AW64" s="150" t="s">
        <v>132</v>
      </c>
      <c r="AX64" s="150" t="s">
        <v>132</v>
      </c>
      <c r="AY64" s="150" t="s">
        <v>132</v>
      </c>
      <c r="AZ64" s="150" t="s">
        <v>132</v>
      </c>
      <c r="BA64" s="150" t="s">
        <v>132</v>
      </c>
      <c r="BB64" s="150" t="s">
        <v>132</v>
      </c>
      <c r="BC64" s="150" t="s">
        <v>132</v>
      </c>
      <c r="BD64" s="150" t="s">
        <v>132</v>
      </c>
      <c r="BE64" s="150" t="s">
        <v>132</v>
      </c>
      <c r="BF64" s="150" t="s">
        <v>132</v>
      </c>
      <c r="BG64" s="150" t="s">
        <v>132</v>
      </c>
      <c r="BH64" s="150" t="s">
        <v>132</v>
      </c>
      <c r="BI64" s="150" t="s">
        <v>132</v>
      </c>
      <c r="BJ64" s="150" t="s">
        <v>132</v>
      </c>
      <c r="BK64" s="150" t="s">
        <v>132</v>
      </c>
      <c r="BL64" s="150" t="s">
        <v>132</v>
      </c>
      <c r="BM64" s="150" t="s">
        <v>132</v>
      </c>
      <c r="BN64" s="150" t="s">
        <v>132</v>
      </c>
      <c r="BO64" s="150" t="s">
        <v>132</v>
      </c>
      <c r="BP64" s="150" t="s">
        <v>132</v>
      </c>
      <c r="BQ64" s="150" t="s">
        <v>132</v>
      </c>
      <c r="BR64" s="150" t="s">
        <v>132</v>
      </c>
      <c r="BS64" s="150" t="s">
        <v>132</v>
      </c>
      <c r="BT64" s="150" t="s">
        <v>132</v>
      </c>
      <c r="BU64" s="150" t="s">
        <v>132</v>
      </c>
      <c r="BV64" s="150" t="s">
        <v>132</v>
      </c>
      <c r="BW64" s="150" t="s">
        <v>132</v>
      </c>
      <c r="BX64" s="150" t="s">
        <v>132</v>
      </c>
      <c r="BY64" s="150" t="s">
        <v>132</v>
      </c>
      <c r="BZ64" s="150" t="s">
        <v>132</v>
      </c>
      <c r="CA64" s="150" t="s">
        <v>132</v>
      </c>
      <c r="CB64" s="150" t="s">
        <v>132</v>
      </c>
      <c r="CC64" s="190" t="s">
        <v>132</v>
      </c>
      <c r="CD64" s="190" t="s">
        <v>132</v>
      </c>
      <c r="CE64" s="190" t="s">
        <v>132</v>
      </c>
      <c r="CF64" s="190" t="s">
        <v>132</v>
      </c>
      <c r="CG64" s="190" t="s">
        <v>132</v>
      </c>
      <c r="CH64" s="190" t="s">
        <v>132</v>
      </c>
      <c r="CI64" s="190" t="s">
        <v>132</v>
      </c>
      <c r="CJ64" s="190" t="s">
        <v>132</v>
      </c>
      <c r="CK64" s="190" t="s">
        <v>132</v>
      </c>
      <c r="CL64" s="190" t="s">
        <v>132</v>
      </c>
      <c r="CM64" s="190" t="s">
        <v>132</v>
      </c>
      <c r="CN64" s="190" t="s">
        <v>132</v>
      </c>
      <c r="CO64" s="190" t="s">
        <v>132</v>
      </c>
      <c r="CP64" s="190" t="s">
        <v>132</v>
      </c>
      <c r="CQ64" s="190" t="s">
        <v>132</v>
      </c>
      <c r="CR64" s="190" t="s">
        <v>132</v>
      </c>
      <c r="CS64" s="190" t="s">
        <v>132</v>
      </c>
      <c r="CT64" s="190" t="s">
        <v>132</v>
      </c>
      <c r="CU64" s="190" t="s">
        <v>132</v>
      </c>
      <c r="CV64" s="190" t="s">
        <v>132</v>
      </c>
      <c r="CW64" s="190" t="s">
        <v>132</v>
      </c>
      <c r="CX64" s="190" t="s">
        <v>132</v>
      </c>
      <c r="CY64" s="190" t="s">
        <v>132</v>
      </c>
      <c r="CZ64" s="190" t="s">
        <v>132</v>
      </c>
      <c r="DA64" s="190" t="s">
        <v>132</v>
      </c>
      <c r="DB64" s="190" t="s">
        <v>132</v>
      </c>
      <c r="DC64" s="190" t="s">
        <v>132</v>
      </c>
      <c r="DD64" s="190" t="s">
        <v>132</v>
      </c>
      <c r="DE64" s="190" t="s">
        <v>132</v>
      </c>
      <c r="DF64" s="190" t="s">
        <v>132</v>
      </c>
      <c r="DG64" s="190" t="s">
        <v>132</v>
      </c>
      <c r="DH64" s="190" t="s">
        <v>132</v>
      </c>
    </row>
    <row r="65" spans="1:112">
      <c r="A65" s="150" t="s">
        <v>144</v>
      </c>
      <c r="B65" s="150">
        <v>4</v>
      </c>
      <c r="C65" s="150">
        <v>4</v>
      </c>
      <c r="D65" s="150" t="s">
        <v>233</v>
      </c>
      <c r="E65" s="150" t="s">
        <v>229</v>
      </c>
      <c r="F65" s="150">
        <v>56</v>
      </c>
      <c r="G65" s="150" t="s">
        <v>234</v>
      </c>
      <c r="H65" s="150" t="s">
        <v>136</v>
      </c>
      <c r="I65" s="150" t="s">
        <v>132</v>
      </c>
      <c r="J65" s="150" t="s">
        <v>132</v>
      </c>
      <c r="K65" s="150" t="s">
        <v>132</v>
      </c>
      <c r="L65" s="150" t="s">
        <v>132</v>
      </c>
      <c r="M65" s="150">
        <v>0</v>
      </c>
      <c r="N65" s="150">
        <v>79</v>
      </c>
      <c r="O65" s="152">
        <v>0</v>
      </c>
      <c r="P65" s="152">
        <v>8.65</v>
      </c>
      <c r="Q65" s="150" t="s">
        <v>132</v>
      </c>
      <c r="R65" s="150" t="s">
        <v>132</v>
      </c>
      <c r="S65" s="150" t="s">
        <v>132</v>
      </c>
      <c r="T65" s="150" t="s">
        <v>132</v>
      </c>
      <c r="U65" s="150" t="s">
        <v>132</v>
      </c>
      <c r="V65" s="150" t="s">
        <v>132</v>
      </c>
      <c r="W65" s="150" t="s">
        <v>132</v>
      </c>
      <c r="X65" s="150" t="s">
        <v>132</v>
      </c>
      <c r="Y65" s="150" t="s">
        <v>132</v>
      </c>
      <c r="Z65" s="150" t="s">
        <v>132</v>
      </c>
      <c r="AA65" s="150" t="s">
        <v>132</v>
      </c>
      <c r="AB65" s="150" t="s">
        <v>132</v>
      </c>
      <c r="AC65" s="150" t="s">
        <v>132</v>
      </c>
      <c r="AD65" s="150" t="s">
        <v>132</v>
      </c>
      <c r="AE65" s="150" t="s">
        <v>132</v>
      </c>
      <c r="AF65" s="150" t="s">
        <v>132</v>
      </c>
      <c r="AG65" s="150" t="s">
        <v>132</v>
      </c>
      <c r="AH65" s="150" t="s">
        <v>132</v>
      </c>
      <c r="AI65" s="150" t="s">
        <v>132</v>
      </c>
      <c r="AJ65" s="150" t="s">
        <v>132</v>
      </c>
      <c r="AK65" s="150" t="s">
        <v>132</v>
      </c>
      <c r="AL65" s="150" t="s">
        <v>132</v>
      </c>
      <c r="AM65" s="150" t="s">
        <v>132</v>
      </c>
      <c r="AN65" s="150" t="s">
        <v>132</v>
      </c>
      <c r="AO65" s="150" t="s">
        <v>132</v>
      </c>
      <c r="AP65" s="150" t="s">
        <v>132</v>
      </c>
      <c r="AQ65" s="150" t="s">
        <v>132</v>
      </c>
      <c r="AR65" s="150" t="s">
        <v>132</v>
      </c>
      <c r="AS65" s="150" t="s">
        <v>132</v>
      </c>
      <c r="AT65" s="150" t="s">
        <v>132</v>
      </c>
      <c r="AU65" s="150" t="s">
        <v>132</v>
      </c>
      <c r="AV65" s="150" t="s">
        <v>132</v>
      </c>
      <c r="AW65" s="150" t="s">
        <v>132</v>
      </c>
      <c r="AX65" s="150" t="s">
        <v>132</v>
      </c>
      <c r="AY65" s="150" t="s">
        <v>132</v>
      </c>
      <c r="AZ65" s="150" t="s">
        <v>132</v>
      </c>
      <c r="BA65" s="150" t="s">
        <v>132</v>
      </c>
      <c r="BB65" s="150" t="s">
        <v>132</v>
      </c>
      <c r="BC65" s="150" t="s">
        <v>132</v>
      </c>
      <c r="BD65" s="150" t="s">
        <v>132</v>
      </c>
      <c r="BE65" s="150" t="s">
        <v>132</v>
      </c>
      <c r="BF65" s="150" t="s">
        <v>132</v>
      </c>
      <c r="BG65" s="150" t="s">
        <v>132</v>
      </c>
      <c r="BH65" s="150" t="s">
        <v>132</v>
      </c>
      <c r="BI65" s="150" t="s">
        <v>132</v>
      </c>
      <c r="BJ65" s="150" t="s">
        <v>132</v>
      </c>
      <c r="BK65" s="150" t="s">
        <v>132</v>
      </c>
      <c r="BL65" s="150" t="s">
        <v>132</v>
      </c>
      <c r="BM65" s="150" t="s">
        <v>132</v>
      </c>
      <c r="BN65" s="150" t="s">
        <v>132</v>
      </c>
      <c r="BO65" s="150" t="s">
        <v>132</v>
      </c>
      <c r="BP65" s="150" t="s">
        <v>132</v>
      </c>
      <c r="BQ65" s="150" t="s">
        <v>132</v>
      </c>
      <c r="BR65" s="150" t="s">
        <v>132</v>
      </c>
      <c r="BS65" s="150" t="s">
        <v>132</v>
      </c>
      <c r="BT65" s="150" t="s">
        <v>132</v>
      </c>
      <c r="BU65" s="150" t="s">
        <v>132</v>
      </c>
      <c r="BV65" s="150" t="s">
        <v>132</v>
      </c>
      <c r="BW65" s="150" t="s">
        <v>132</v>
      </c>
      <c r="BX65" s="150" t="s">
        <v>132</v>
      </c>
      <c r="BY65" s="150" t="s">
        <v>132</v>
      </c>
      <c r="BZ65" s="150" t="s">
        <v>132</v>
      </c>
      <c r="CA65" s="150" t="s">
        <v>132</v>
      </c>
      <c r="CB65" s="150" t="s">
        <v>132</v>
      </c>
      <c r="CC65" s="190" t="s">
        <v>132</v>
      </c>
      <c r="CD65" s="190" t="s">
        <v>132</v>
      </c>
      <c r="CE65" s="190" t="s">
        <v>132</v>
      </c>
      <c r="CF65" s="190" t="s">
        <v>132</v>
      </c>
      <c r="CG65" s="190" t="s">
        <v>132</v>
      </c>
      <c r="CH65" s="190" t="s">
        <v>132</v>
      </c>
      <c r="CI65" s="190" t="s">
        <v>132</v>
      </c>
      <c r="CJ65" s="190" t="s">
        <v>132</v>
      </c>
      <c r="CK65" s="190" t="s">
        <v>132</v>
      </c>
      <c r="CL65" s="190" t="s">
        <v>132</v>
      </c>
      <c r="CM65" s="190" t="s">
        <v>132</v>
      </c>
      <c r="CN65" s="190" t="s">
        <v>132</v>
      </c>
      <c r="CO65" s="190" t="s">
        <v>132</v>
      </c>
      <c r="CP65" s="190" t="s">
        <v>132</v>
      </c>
      <c r="CQ65" s="190" t="s">
        <v>132</v>
      </c>
      <c r="CR65" s="190" t="s">
        <v>132</v>
      </c>
      <c r="CS65" s="190" t="s">
        <v>132</v>
      </c>
      <c r="CT65" s="190" t="s">
        <v>132</v>
      </c>
      <c r="CU65" s="190" t="s">
        <v>132</v>
      </c>
      <c r="CV65" s="190" t="s">
        <v>132</v>
      </c>
      <c r="CW65" s="190" t="s">
        <v>132</v>
      </c>
      <c r="CX65" s="190" t="s">
        <v>132</v>
      </c>
      <c r="CY65" s="190" t="s">
        <v>132</v>
      </c>
      <c r="CZ65" s="190" t="s">
        <v>132</v>
      </c>
      <c r="DA65" s="190" t="s">
        <v>132</v>
      </c>
      <c r="DB65" s="190" t="s">
        <v>132</v>
      </c>
      <c r="DC65" s="190" t="s">
        <v>132</v>
      </c>
      <c r="DD65" s="190" t="s">
        <v>132</v>
      </c>
      <c r="DE65" s="190" t="s">
        <v>132</v>
      </c>
      <c r="DF65" s="190" t="s">
        <v>132</v>
      </c>
      <c r="DG65" s="190" t="s">
        <v>132</v>
      </c>
      <c r="DH65" s="190" t="s">
        <v>132</v>
      </c>
    </row>
    <row r="66" spans="1:112">
      <c r="A66" s="150" t="s">
        <v>144</v>
      </c>
      <c r="B66" s="150">
        <v>4</v>
      </c>
      <c r="C66" s="150">
        <v>4</v>
      </c>
      <c r="D66" s="150" t="s">
        <v>233</v>
      </c>
      <c r="E66" s="150" t="s">
        <v>230</v>
      </c>
      <c r="F66" s="150">
        <v>56</v>
      </c>
      <c r="G66" s="150" t="s">
        <v>234</v>
      </c>
      <c r="H66" s="150" t="s">
        <v>136</v>
      </c>
      <c r="I66" s="150" t="s">
        <v>132</v>
      </c>
      <c r="J66" s="150" t="s">
        <v>132</v>
      </c>
      <c r="K66" s="150" t="s">
        <v>132</v>
      </c>
      <c r="L66" s="150" t="s">
        <v>132</v>
      </c>
      <c r="M66" s="150">
        <v>35</v>
      </c>
      <c r="N66" s="150">
        <v>81</v>
      </c>
      <c r="O66" s="152">
        <v>6.92</v>
      </c>
      <c r="P66" s="152">
        <v>1.73</v>
      </c>
      <c r="Q66" s="150" t="s">
        <v>132</v>
      </c>
      <c r="R66" s="150" t="s">
        <v>132</v>
      </c>
      <c r="S66" s="150" t="s">
        <v>132</v>
      </c>
      <c r="T66" s="150" t="s">
        <v>132</v>
      </c>
      <c r="U66" s="150" t="s">
        <v>132</v>
      </c>
      <c r="V66" s="150" t="s">
        <v>132</v>
      </c>
      <c r="W66" s="150" t="s">
        <v>132</v>
      </c>
      <c r="X66" s="150" t="s">
        <v>132</v>
      </c>
      <c r="Y66" s="150" t="s">
        <v>132</v>
      </c>
      <c r="Z66" s="150" t="s">
        <v>132</v>
      </c>
      <c r="AA66" s="150" t="s">
        <v>132</v>
      </c>
      <c r="AB66" s="150" t="s">
        <v>132</v>
      </c>
      <c r="AC66" s="150" t="s">
        <v>132</v>
      </c>
      <c r="AD66" s="150" t="s">
        <v>132</v>
      </c>
      <c r="AE66" s="150" t="s">
        <v>132</v>
      </c>
      <c r="AF66" s="150" t="s">
        <v>132</v>
      </c>
      <c r="AG66" s="150" t="s">
        <v>132</v>
      </c>
      <c r="AH66" s="150" t="s">
        <v>132</v>
      </c>
      <c r="AI66" s="150" t="s">
        <v>132</v>
      </c>
      <c r="AJ66" s="150" t="s">
        <v>132</v>
      </c>
      <c r="AK66" s="150" t="s">
        <v>132</v>
      </c>
      <c r="AL66" s="150" t="s">
        <v>132</v>
      </c>
      <c r="AM66" s="150" t="s">
        <v>132</v>
      </c>
      <c r="AN66" s="150" t="s">
        <v>132</v>
      </c>
      <c r="AO66" s="150" t="s">
        <v>132</v>
      </c>
      <c r="AP66" s="150" t="s">
        <v>132</v>
      </c>
      <c r="AQ66" s="150" t="s">
        <v>132</v>
      </c>
      <c r="AR66" s="150" t="s">
        <v>132</v>
      </c>
      <c r="AS66" s="150" t="s">
        <v>132</v>
      </c>
      <c r="AT66" s="150" t="s">
        <v>132</v>
      </c>
      <c r="AU66" s="150" t="s">
        <v>132</v>
      </c>
      <c r="AV66" s="150" t="s">
        <v>132</v>
      </c>
      <c r="AW66" s="150" t="s">
        <v>132</v>
      </c>
      <c r="AX66" s="150" t="s">
        <v>132</v>
      </c>
      <c r="AY66" s="150" t="s">
        <v>132</v>
      </c>
      <c r="AZ66" s="150" t="s">
        <v>132</v>
      </c>
      <c r="BA66" s="150" t="s">
        <v>132</v>
      </c>
      <c r="BB66" s="150" t="s">
        <v>132</v>
      </c>
      <c r="BC66" s="150" t="s">
        <v>132</v>
      </c>
      <c r="BD66" s="150" t="s">
        <v>132</v>
      </c>
      <c r="BE66" s="150" t="s">
        <v>132</v>
      </c>
      <c r="BF66" s="150" t="s">
        <v>132</v>
      </c>
      <c r="BG66" s="150" t="s">
        <v>132</v>
      </c>
      <c r="BH66" s="150" t="s">
        <v>132</v>
      </c>
      <c r="BI66" s="150" t="s">
        <v>132</v>
      </c>
      <c r="BJ66" s="150" t="s">
        <v>132</v>
      </c>
      <c r="BK66" s="150" t="s">
        <v>132</v>
      </c>
      <c r="BL66" s="150" t="s">
        <v>132</v>
      </c>
      <c r="BM66" s="150" t="s">
        <v>132</v>
      </c>
      <c r="BN66" s="150" t="s">
        <v>132</v>
      </c>
      <c r="BO66" s="150" t="s">
        <v>132</v>
      </c>
      <c r="BP66" s="150" t="s">
        <v>132</v>
      </c>
      <c r="BQ66" s="150" t="s">
        <v>132</v>
      </c>
      <c r="BR66" s="150" t="s">
        <v>132</v>
      </c>
      <c r="BS66" s="150" t="s">
        <v>132</v>
      </c>
      <c r="BT66" s="150" t="s">
        <v>132</v>
      </c>
      <c r="BU66" s="150" t="s">
        <v>132</v>
      </c>
      <c r="BV66" s="150" t="s">
        <v>132</v>
      </c>
      <c r="BW66" s="150" t="s">
        <v>132</v>
      </c>
      <c r="BX66" s="150" t="s">
        <v>132</v>
      </c>
      <c r="BY66" s="150" t="s">
        <v>132</v>
      </c>
      <c r="BZ66" s="150" t="s">
        <v>132</v>
      </c>
      <c r="CA66" s="150" t="s">
        <v>132</v>
      </c>
      <c r="CB66" s="150" t="s">
        <v>132</v>
      </c>
      <c r="CC66" s="190" t="s">
        <v>132</v>
      </c>
      <c r="CD66" s="190" t="s">
        <v>132</v>
      </c>
      <c r="CE66" s="190" t="s">
        <v>132</v>
      </c>
      <c r="CF66" s="190" t="s">
        <v>132</v>
      </c>
      <c r="CG66" s="190" t="s">
        <v>132</v>
      </c>
      <c r="CH66" s="190" t="s">
        <v>132</v>
      </c>
      <c r="CI66" s="190" t="s">
        <v>132</v>
      </c>
      <c r="CJ66" s="190" t="s">
        <v>132</v>
      </c>
      <c r="CK66" s="190" t="s">
        <v>132</v>
      </c>
      <c r="CL66" s="190" t="s">
        <v>132</v>
      </c>
      <c r="CM66" s="190" t="s">
        <v>132</v>
      </c>
      <c r="CN66" s="190" t="s">
        <v>132</v>
      </c>
      <c r="CO66" s="190" t="s">
        <v>132</v>
      </c>
      <c r="CP66" s="190" t="s">
        <v>132</v>
      </c>
      <c r="CQ66" s="190" t="s">
        <v>132</v>
      </c>
      <c r="CR66" s="190" t="s">
        <v>132</v>
      </c>
      <c r="CS66" s="190" t="s">
        <v>132</v>
      </c>
      <c r="CT66" s="190" t="s">
        <v>132</v>
      </c>
      <c r="CU66" s="190" t="s">
        <v>132</v>
      </c>
      <c r="CV66" s="190" t="s">
        <v>132</v>
      </c>
      <c r="CW66" s="190" t="s">
        <v>132</v>
      </c>
      <c r="CX66" s="190" t="s">
        <v>132</v>
      </c>
      <c r="CY66" s="190" t="s">
        <v>132</v>
      </c>
      <c r="CZ66" s="190" t="s">
        <v>132</v>
      </c>
      <c r="DA66" s="190" t="s">
        <v>132</v>
      </c>
      <c r="DB66" s="190" t="s">
        <v>132</v>
      </c>
      <c r="DC66" s="190" t="s">
        <v>132</v>
      </c>
      <c r="DD66" s="190" t="s">
        <v>132</v>
      </c>
      <c r="DE66" s="190" t="s">
        <v>132</v>
      </c>
      <c r="DF66" s="190" t="s">
        <v>132</v>
      </c>
      <c r="DG66" s="190" t="s">
        <v>132</v>
      </c>
      <c r="DH66" s="190" t="s">
        <v>132</v>
      </c>
    </row>
    <row r="67" spans="1:112">
      <c r="A67" s="150" t="s">
        <v>144</v>
      </c>
      <c r="B67" s="150">
        <v>4</v>
      </c>
      <c r="C67" s="150">
        <v>4</v>
      </c>
      <c r="D67" s="150" t="s">
        <v>233</v>
      </c>
      <c r="E67" s="150" t="s">
        <v>228</v>
      </c>
      <c r="F67" s="150">
        <v>56</v>
      </c>
      <c r="G67" s="150" t="s">
        <v>234</v>
      </c>
      <c r="H67" s="150" t="s">
        <v>136</v>
      </c>
      <c r="I67" s="150" t="s">
        <v>132</v>
      </c>
      <c r="J67" s="150" t="s">
        <v>132</v>
      </c>
      <c r="K67" s="150" t="s">
        <v>132</v>
      </c>
      <c r="L67" s="150" t="s">
        <v>132</v>
      </c>
      <c r="M67" s="150">
        <v>0</v>
      </c>
      <c r="N67" s="150">
        <v>55</v>
      </c>
      <c r="O67" s="152">
        <v>0</v>
      </c>
      <c r="P67" s="152">
        <v>8.65</v>
      </c>
      <c r="Q67" s="150" t="s">
        <v>132</v>
      </c>
      <c r="R67" s="150" t="s">
        <v>132</v>
      </c>
      <c r="S67" s="150" t="s">
        <v>132</v>
      </c>
      <c r="T67" s="150" t="s">
        <v>132</v>
      </c>
      <c r="U67" s="150" t="s">
        <v>132</v>
      </c>
      <c r="V67" s="150" t="s">
        <v>132</v>
      </c>
      <c r="W67" s="150" t="s">
        <v>132</v>
      </c>
      <c r="X67" s="150" t="s">
        <v>132</v>
      </c>
      <c r="Y67" s="150" t="s">
        <v>132</v>
      </c>
      <c r="Z67" s="150" t="s">
        <v>132</v>
      </c>
      <c r="AA67" s="150" t="s">
        <v>132</v>
      </c>
      <c r="AB67" s="150" t="s">
        <v>132</v>
      </c>
      <c r="AC67" s="150" t="s">
        <v>132</v>
      </c>
      <c r="AD67" s="150" t="s">
        <v>132</v>
      </c>
      <c r="AE67" s="150" t="s">
        <v>132</v>
      </c>
      <c r="AF67" s="150" t="s">
        <v>132</v>
      </c>
      <c r="AG67" s="150" t="s">
        <v>132</v>
      </c>
      <c r="AH67" s="150" t="s">
        <v>132</v>
      </c>
      <c r="AI67" s="150" t="s">
        <v>132</v>
      </c>
      <c r="AJ67" s="150" t="s">
        <v>132</v>
      </c>
      <c r="AK67" s="150" t="s">
        <v>132</v>
      </c>
      <c r="AL67" s="150" t="s">
        <v>132</v>
      </c>
      <c r="AM67" s="150" t="s">
        <v>132</v>
      </c>
      <c r="AN67" s="150" t="s">
        <v>132</v>
      </c>
      <c r="AO67" s="150" t="s">
        <v>132</v>
      </c>
      <c r="AP67" s="150" t="s">
        <v>132</v>
      </c>
      <c r="AQ67" s="150" t="s">
        <v>132</v>
      </c>
      <c r="AR67" s="150" t="s">
        <v>132</v>
      </c>
      <c r="AS67" s="150" t="s">
        <v>132</v>
      </c>
      <c r="AT67" s="150" t="s">
        <v>132</v>
      </c>
      <c r="AU67" s="150" t="s">
        <v>132</v>
      </c>
      <c r="AV67" s="150" t="s">
        <v>132</v>
      </c>
      <c r="AW67" s="150" t="s">
        <v>132</v>
      </c>
      <c r="AX67" s="150" t="s">
        <v>132</v>
      </c>
      <c r="AY67" s="150" t="s">
        <v>132</v>
      </c>
      <c r="AZ67" s="150" t="s">
        <v>132</v>
      </c>
      <c r="BA67" s="150" t="s">
        <v>132</v>
      </c>
      <c r="BB67" s="150" t="s">
        <v>132</v>
      </c>
      <c r="BC67" s="150" t="s">
        <v>132</v>
      </c>
      <c r="BD67" s="150" t="s">
        <v>132</v>
      </c>
      <c r="BE67" s="150" t="s">
        <v>132</v>
      </c>
      <c r="BF67" s="150" t="s">
        <v>132</v>
      </c>
      <c r="BG67" s="150" t="s">
        <v>132</v>
      </c>
      <c r="BH67" s="150" t="s">
        <v>132</v>
      </c>
      <c r="BI67" s="150" t="s">
        <v>132</v>
      </c>
      <c r="BJ67" s="150" t="s">
        <v>132</v>
      </c>
      <c r="BK67" s="150" t="s">
        <v>132</v>
      </c>
      <c r="BL67" s="150" t="s">
        <v>132</v>
      </c>
      <c r="BM67" s="150" t="s">
        <v>132</v>
      </c>
      <c r="BN67" s="150" t="s">
        <v>132</v>
      </c>
      <c r="BO67" s="150" t="s">
        <v>132</v>
      </c>
      <c r="BP67" s="150" t="s">
        <v>132</v>
      </c>
      <c r="BQ67" s="150" t="s">
        <v>132</v>
      </c>
      <c r="BR67" s="150" t="s">
        <v>132</v>
      </c>
      <c r="BS67" s="150" t="s">
        <v>132</v>
      </c>
      <c r="BT67" s="150" t="s">
        <v>132</v>
      </c>
      <c r="BU67" s="150" t="s">
        <v>132</v>
      </c>
      <c r="BV67" s="150" t="s">
        <v>132</v>
      </c>
      <c r="BW67" s="150" t="s">
        <v>132</v>
      </c>
      <c r="BX67" s="150" t="s">
        <v>132</v>
      </c>
      <c r="BY67" s="150" t="s">
        <v>132</v>
      </c>
      <c r="BZ67" s="150" t="s">
        <v>132</v>
      </c>
      <c r="CA67" s="150" t="s">
        <v>132</v>
      </c>
      <c r="CB67" s="150" t="s">
        <v>132</v>
      </c>
      <c r="CC67" s="190" t="s">
        <v>132</v>
      </c>
      <c r="CD67" s="190" t="s">
        <v>132</v>
      </c>
      <c r="CE67" s="190" t="s">
        <v>132</v>
      </c>
      <c r="CF67" s="190" t="s">
        <v>132</v>
      </c>
      <c r="CG67" s="190" t="s">
        <v>132</v>
      </c>
      <c r="CH67" s="190" t="s">
        <v>132</v>
      </c>
      <c r="CI67" s="190" t="s">
        <v>132</v>
      </c>
      <c r="CJ67" s="190" t="s">
        <v>132</v>
      </c>
      <c r="CK67" s="190" t="s">
        <v>132</v>
      </c>
      <c r="CL67" s="190" t="s">
        <v>132</v>
      </c>
      <c r="CM67" s="190" t="s">
        <v>132</v>
      </c>
      <c r="CN67" s="190" t="s">
        <v>132</v>
      </c>
      <c r="CO67" s="190" t="s">
        <v>132</v>
      </c>
      <c r="CP67" s="190" t="s">
        <v>132</v>
      </c>
      <c r="CQ67" s="190" t="s">
        <v>132</v>
      </c>
      <c r="CR67" s="190" t="s">
        <v>132</v>
      </c>
      <c r="CS67" s="190" t="s">
        <v>132</v>
      </c>
      <c r="CT67" s="190" t="s">
        <v>132</v>
      </c>
      <c r="CU67" s="190" t="s">
        <v>132</v>
      </c>
      <c r="CV67" s="190" t="s">
        <v>132</v>
      </c>
      <c r="CW67" s="190" t="s">
        <v>132</v>
      </c>
      <c r="CX67" s="190" t="s">
        <v>132</v>
      </c>
      <c r="CY67" s="190" t="s">
        <v>132</v>
      </c>
      <c r="CZ67" s="190" t="s">
        <v>132</v>
      </c>
      <c r="DA67" s="190" t="s">
        <v>132</v>
      </c>
      <c r="DB67" s="190" t="s">
        <v>132</v>
      </c>
      <c r="DC67" s="190" t="s">
        <v>132</v>
      </c>
      <c r="DD67" s="190" t="s">
        <v>132</v>
      </c>
      <c r="DE67" s="190" t="s">
        <v>132</v>
      </c>
      <c r="DF67" s="190" t="s">
        <v>132</v>
      </c>
      <c r="DG67" s="190" t="s">
        <v>132</v>
      </c>
      <c r="DH67" s="190" t="s">
        <v>132</v>
      </c>
    </row>
    <row r="68" spans="1:112">
      <c r="A68" s="150" t="s">
        <v>145</v>
      </c>
      <c r="B68" s="150">
        <v>4</v>
      </c>
      <c r="C68" s="150">
        <v>4</v>
      </c>
      <c r="D68" s="150" t="s">
        <v>233</v>
      </c>
      <c r="E68" s="150" t="s">
        <v>229</v>
      </c>
      <c r="F68" s="180">
        <v>63</v>
      </c>
      <c r="G68" s="150" t="s">
        <v>234</v>
      </c>
      <c r="H68" s="150" t="s">
        <v>136</v>
      </c>
      <c r="I68" s="150" t="s">
        <v>132</v>
      </c>
      <c r="J68" s="150" t="s">
        <v>132</v>
      </c>
      <c r="K68" s="150" t="s">
        <v>132</v>
      </c>
      <c r="L68" s="150" t="s">
        <v>132</v>
      </c>
      <c r="M68" s="156">
        <v>4.17</v>
      </c>
      <c r="N68" s="156">
        <v>29.2</v>
      </c>
      <c r="O68" s="150">
        <f>M68/10</f>
        <v>0.41699999999999998</v>
      </c>
      <c r="P68" s="150">
        <f>N68/10</f>
        <v>2.92</v>
      </c>
      <c r="Q68" s="150">
        <v>122.4</v>
      </c>
      <c r="R68" s="150">
        <v>110.7</v>
      </c>
      <c r="S68" s="150">
        <f>Q68/10</f>
        <v>12.24</v>
      </c>
      <c r="T68" s="150">
        <f>R68/10</f>
        <v>11.07</v>
      </c>
      <c r="U68" s="150" t="s">
        <v>132</v>
      </c>
      <c r="V68" s="150" t="s">
        <v>132</v>
      </c>
      <c r="W68" s="150" t="s">
        <v>132</v>
      </c>
      <c r="X68" s="150" t="s">
        <v>132</v>
      </c>
      <c r="Y68" s="150" t="s">
        <v>132</v>
      </c>
      <c r="Z68" s="150" t="s">
        <v>132</v>
      </c>
      <c r="AA68" s="150" t="s">
        <v>132</v>
      </c>
      <c r="AB68" s="150" t="s">
        <v>132</v>
      </c>
      <c r="AC68" s="150" t="s">
        <v>132</v>
      </c>
      <c r="AD68" s="150" t="s">
        <v>132</v>
      </c>
      <c r="AE68" s="150" t="s">
        <v>132</v>
      </c>
      <c r="AF68" s="150" t="s">
        <v>132</v>
      </c>
      <c r="AG68" s="150" t="s">
        <v>132</v>
      </c>
      <c r="AH68" s="150" t="s">
        <v>132</v>
      </c>
      <c r="AI68" s="150" t="s">
        <v>132</v>
      </c>
      <c r="AJ68" s="150" t="s">
        <v>132</v>
      </c>
      <c r="AK68" s="150" t="s">
        <v>132</v>
      </c>
      <c r="AL68" s="150" t="s">
        <v>132</v>
      </c>
      <c r="AM68" s="150" t="s">
        <v>132</v>
      </c>
      <c r="AN68" s="150" t="s">
        <v>132</v>
      </c>
      <c r="AO68" s="150" t="s">
        <v>132</v>
      </c>
      <c r="AP68" s="150" t="s">
        <v>132</v>
      </c>
      <c r="AQ68" s="150" t="s">
        <v>132</v>
      </c>
      <c r="AR68" s="150" t="s">
        <v>132</v>
      </c>
      <c r="AS68" s="150" t="s">
        <v>132</v>
      </c>
      <c r="AT68" s="150" t="s">
        <v>132</v>
      </c>
      <c r="AU68" s="150" t="s">
        <v>132</v>
      </c>
      <c r="AV68" s="150" t="s">
        <v>132</v>
      </c>
      <c r="AW68" s="150" t="s">
        <v>132</v>
      </c>
      <c r="AX68" s="150" t="s">
        <v>132</v>
      </c>
      <c r="AY68" s="150" t="s">
        <v>132</v>
      </c>
      <c r="AZ68" s="150" t="s">
        <v>132</v>
      </c>
      <c r="BA68" s="150" t="s">
        <v>132</v>
      </c>
      <c r="BB68" s="150" t="s">
        <v>132</v>
      </c>
      <c r="BC68" s="150" t="s">
        <v>132</v>
      </c>
      <c r="BD68" s="150" t="s">
        <v>132</v>
      </c>
      <c r="BE68" s="150" t="s">
        <v>132</v>
      </c>
      <c r="BF68" s="150" t="s">
        <v>132</v>
      </c>
      <c r="BG68" s="150" t="s">
        <v>132</v>
      </c>
      <c r="BH68" s="150" t="s">
        <v>132</v>
      </c>
      <c r="BI68" s="150" t="s">
        <v>132</v>
      </c>
      <c r="BJ68" s="150" t="s">
        <v>132</v>
      </c>
      <c r="BK68" s="150" t="s">
        <v>132</v>
      </c>
      <c r="BL68" s="150" t="s">
        <v>132</v>
      </c>
      <c r="BM68" s="150" t="s">
        <v>132</v>
      </c>
      <c r="BN68" s="150" t="s">
        <v>132</v>
      </c>
      <c r="BO68" s="150" t="s">
        <v>132</v>
      </c>
      <c r="BP68" s="150" t="s">
        <v>132</v>
      </c>
      <c r="BQ68" s="150" t="s">
        <v>132</v>
      </c>
      <c r="BR68" s="150" t="s">
        <v>132</v>
      </c>
      <c r="BS68" s="150" t="s">
        <v>132</v>
      </c>
      <c r="BT68" s="150" t="s">
        <v>132</v>
      </c>
      <c r="BU68" s="150" t="s">
        <v>132</v>
      </c>
      <c r="BV68" s="150" t="s">
        <v>132</v>
      </c>
      <c r="BW68" s="150" t="s">
        <v>132</v>
      </c>
      <c r="BX68" s="150" t="s">
        <v>132</v>
      </c>
      <c r="BY68" s="150" t="s">
        <v>132</v>
      </c>
      <c r="BZ68" s="150" t="s">
        <v>132</v>
      </c>
      <c r="CA68" s="150" t="s">
        <v>132</v>
      </c>
      <c r="CB68" s="150" t="s">
        <v>132</v>
      </c>
      <c r="CC68" s="190" t="s">
        <v>132</v>
      </c>
      <c r="CD68" s="190" t="s">
        <v>132</v>
      </c>
      <c r="CE68" s="190" t="s">
        <v>132</v>
      </c>
      <c r="CF68" s="190" t="s">
        <v>132</v>
      </c>
      <c r="CG68" s="190" t="s">
        <v>132</v>
      </c>
      <c r="CH68" s="190" t="s">
        <v>132</v>
      </c>
      <c r="CI68" s="190" t="s">
        <v>132</v>
      </c>
      <c r="CJ68" s="190" t="s">
        <v>132</v>
      </c>
      <c r="CK68" s="190" t="s">
        <v>132</v>
      </c>
      <c r="CL68" s="190" t="s">
        <v>132</v>
      </c>
      <c r="CM68" s="190" t="s">
        <v>132</v>
      </c>
      <c r="CN68" s="190" t="s">
        <v>132</v>
      </c>
      <c r="CO68" s="190" t="s">
        <v>132</v>
      </c>
      <c r="CP68" s="190" t="s">
        <v>132</v>
      </c>
      <c r="CQ68" s="190" t="s">
        <v>132</v>
      </c>
      <c r="CR68" s="190" t="s">
        <v>132</v>
      </c>
      <c r="CS68" s="190" t="s">
        <v>132</v>
      </c>
      <c r="CT68" s="190" t="s">
        <v>132</v>
      </c>
      <c r="CU68" s="190" t="s">
        <v>132</v>
      </c>
      <c r="CV68" s="190" t="s">
        <v>132</v>
      </c>
      <c r="CW68" s="190" t="s">
        <v>132</v>
      </c>
      <c r="CX68" s="190" t="s">
        <v>132</v>
      </c>
      <c r="CY68" s="190" t="s">
        <v>132</v>
      </c>
      <c r="CZ68" s="190" t="s">
        <v>132</v>
      </c>
      <c r="DA68" s="190" t="s">
        <v>132</v>
      </c>
      <c r="DB68" s="190" t="s">
        <v>132</v>
      </c>
      <c r="DC68" s="190" t="s">
        <v>132</v>
      </c>
      <c r="DD68" s="190" t="s">
        <v>132</v>
      </c>
      <c r="DE68" s="190" t="s">
        <v>132</v>
      </c>
      <c r="DF68" s="190" t="s">
        <v>132</v>
      </c>
      <c r="DG68" s="190" t="s">
        <v>132</v>
      </c>
      <c r="DH68" s="190" t="s">
        <v>132</v>
      </c>
    </row>
    <row r="69" spans="1:112">
      <c r="A69" s="150" t="s">
        <v>146</v>
      </c>
      <c r="B69" s="150">
        <v>5</v>
      </c>
      <c r="C69" s="150">
        <v>5</v>
      </c>
      <c r="D69" s="150" t="s">
        <v>231</v>
      </c>
      <c r="E69" s="150" t="s">
        <v>231</v>
      </c>
      <c r="F69" s="150">
        <v>63</v>
      </c>
      <c r="G69" s="150" t="s">
        <v>234</v>
      </c>
      <c r="H69" s="150" t="s">
        <v>136</v>
      </c>
      <c r="I69" s="151" t="s">
        <v>240</v>
      </c>
      <c r="J69" s="151" t="s">
        <v>240</v>
      </c>
      <c r="K69" s="150" t="s">
        <v>240</v>
      </c>
      <c r="L69" s="150" t="s">
        <v>283</v>
      </c>
      <c r="M69" s="157">
        <v>1.2</v>
      </c>
      <c r="N69" s="169">
        <v>87.4</v>
      </c>
      <c r="O69" s="157">
        <v>1.0954451150103321</v>
      </c>
      <c r="P69" s="157">
        <v>4.1593268686169971</v>
      </c>
      <c r="Q69" s="159">
        <v>4.036E-2</v>
      </c>
      <c r="R69" s="159">
        <v>0.11766000000000001</v>
      </c>
      <c r="S69" s="159">
        <v>8.1162183312180648E-3</v>
      </c>
      <c r="T69" s="159">
        <v>2.4467590809068213E-2</v>
      </c>
      <c r="U69" s="159">
        <v>1.0679046129760278E-2</v>
      </c>
      <c r="V69" s="159">
        <v>5.3276517929664077E-2</v>
      </c>
      <c r="W69" s="159">
        <v>2.2003317839364408E-3</v>
      </c>
      <c r="X69" s="159">
        <v>8.5617051985326757E-3</v>
      </c>
      <c r="Y69" s="168">
        <v>584</v>
      </c>
      <c r="Z69" s="168">
        <v>1228</v>
      </c>
      <c r="AA69" s="168">
        <v>56.391488719486738</v>
      </c>
      <c r="AB69" s="168">
        <v>53.572380943915498</v>
      </c>
      <c r="AC69" s="168">
        <v>596</v>
      </c>
      <c r="AD69" s="168">
        <v>1550</v>
      </c>
      <c r="AE69" s="168">
        <v>186.76188047886004</v>
      </c>
      <c r="AF69" s="168">
        <v>203.46989949375805</v>
      </c>
      <c r="AG69" s="168">
        <v>99.44827181579025</v>
      </c>
      <c r="AH69" s="168">
        <v>93.763502422718531</v>
      </c>
      <c r="AI69" s="157">
        <v>18.989305630817192</v>
      </c>
      <c r="AJ69" s="157">
        <v>6.4041424364195532</v>
      </c>
      <c r="AK69" s="157">
        <v>110.71323732305271</v>
      </c>
      <c r="AL69" s="157">
        <v>155.35936463061375</v>
      </c>
      <c r="AM69" s="157">
        <v>15.776908704961143</v>
      </c>
      <c r="AN69" s="157">
        <v>34.333782309934811</v>
      </c>
      <c r="AO69" s="177">
        <v>9840</v>
      </c>
      <c r="AP69" s="177">
        <v>28800</v>
      </c>
      <c r="AQ69" s="176">
        <v>2032.9781110479275</v>
      </c>
      <c r="AR69" s="176">
        <v>836.66002653407554</v>
      </c>
      <c r="AS69" s="177">
        <v>23600</v>
      </c>
      <c r="AT69" s="177">
        <v>23800</v>
      </c>
      <c r="AU69" s="176">
        <v>2302.1728866442677</v>
      </c>
      <c r="AV69" s="176">
        <v>2588.435821108957</v>
      </c>
      <c r="AW69" s="177">
        <v>26000</v>
      </c>
      <c r="AX69" s="177">
        <v>26200</v>
      </c>
      <c r="AY69" s="176">
        <v>6670.8320320631665</v>
      </c>
      <c r="AZ69" s="176">
        <v>447.21359549995793</v>
      </c>
      <c r="BA69" s="177">
        <v>4800</v>
      </c>
      <c r="BB69" s="177">
        <v>4520</v>
      </c>
      <c r="BC69" s="176">
        <v>565.68542494923804</v>
      </c>
      <c r="BD69" s="176">
        <v>408.65633483405099</v>
      </c>
      <c r="BE69" s="167">
        <v>36.302157216318292</v>
      </c>
      <c r="BF69" s="167">
        <v>41.272709039212742</v>
      </c>
      <c r="BG69" s="183">
        <v>6.284409417497435</v>
      </c>
      <c r="BH69" s="183">
        <v>1.9720435066906057</v>
      </c>
      <c r="BI69" s="167">
        <v>29.247753485193197</v>
      </c>
      <c r="BJ69" s="167">
        <v>136.12548839460982</v>
      </c>
      <c r="BK69" s="183">
        <v>4.4703299539236019</v>
      </c>
      <c r="BL69" s="183">
        <v>33.80966180806228</v>
      </c>
      <c r="BM69" s="176">
        <v>364</v>
      </c>
      <c r="BN69" s="167">
        <v>210</v>
      </c>
      <c r="BO69" s="183">
        <v>78.294316524253531</v>
      </c>
      <c r="BP69" s="183">
        <v>7.0710678118654755</v>
      </c>
      <c r="BQ69" s="167">
        <v>77.453899986701913</v>
      </c>
      <c r="BR69" s="167">
        <v>154.29326634549898</v>
      </c>
      <c r="BS69" s="176">
        <v>12.60329591629011</v>
      </c>
      <c r="BT69" s="176">
        <v>81.968799652969722</v>
      </c>
      <c r="BU69" s="177">
        <v>38000</v>
      </c>
      <c r="BV69" s="177">
        <v>23200</v>
      </c>
      <c r="BW69" s="176">
        <v>3162.2776601683795</v>
      </c>
      <c r="BX69" s="176">
        <v>447.21359549995793</v>
      </c>
      <c r="BY69" s="177">
        <v>7420</v>
      </c>
      <c r="BZ69" s="177">
        <v>5640</v>
      </c>
      <c r="CA69" s="176">
        <v>960.20831073262434</v>
      </c>
      <c r="CB69" s="176">
        <v>409.87803063838396</v>
      </c>
      <c r="CC69" s="189">
        <v>2324</v>
      </c>
      <c r="CD69" s="189">
        <v>1808</v>
      </c>
      <c r="CE69" s="189">
        <v>407.28368491752775</v>
      </c>
      <c r="CF69" s="189">
        <v>288.73863614002198</v>
      </c>
      <c r="CG69" s="189">
        <v>4200</v>
      </c>
      <c r="CH69" s="189">
        <v>3400</v>
      </c>
      <c r="CI69" s="189">
        <v>367.42346141747669</v>
      </c>
      <c r="CJ69" s="189">
        <v>651.92024052026488</v>
      </c>
      <c r="CK69" s="189">
        <v>866</v>
      </c>
      <c r="CL69" s="189">
        <v>608</v>
      </c>
      <c r="CM69" s="189">
        <v>257.44902408049637</v>
      </c>
      <c r="CN69" s="189">
        <v>348.38197427536346</v>
      </c>
      <c r="CO69" s="189">
        <v>1370</v>
      </c>
      <c r="CP69" s="189">
        <v>3158</v>
      </c>
      <c r="CQ69" s="189">
        <v>634.50768316861217</v>
      </c>
      <c r="CR69" s="189">
        <v>2225.1561742942899</v>
      </c>
      <c r="CS69" s="189">
        <v>4860</v>
      </c>
      <c r="CT69" s="189">
        <v>9560</v>
      </c>
      <c r="CU69" s="189">
        <v>598.33101206606364</v>
      </c>
      <c r="CV69" s="189">
        <v>527.25705305856275</v>
      </c>
      <c r="CW69" s="189">
        <v>2056</v>
      </c>
      <c r="CX69" s="189">
        <v>3040</v>
      </c>
      <c r="CY69" s="189">
        <v>114.36782764396638</v>
      </c>
      <c r="CZ69" s="189">
        <v>545.8937625582472</v>
      </c>
      <c r="DA69" s="189">
        <v>35.360000900300442</v>
      </c>
      <c r="DB69" s="189">
        <v>37.7649309316174</v>
      </c>
      <c r="DC69" s="189">
        <v>4.3760140934336382</v>
      </c>
      <c r="DD69" s="189">
        <v>1.4017746499054593</v>
      </c>
      <c r="DE69" s="189">
        <v>32.971176523311705</v>
      </c>
      <c r="DF69" s="189">
        <v>11.093206524253812</v>
      </c>
      <c r="DG69" s="189">
        <v>15.485404476978259</v>
      </c>
      <c r="DH69" s="189">
        <v>1.0821155317780451</v>
      </c>
    </row>
    <row r="70" spans="1:112">
      <c r="A70" s="150" t="s">
        <v>146</v>
      </c>
      <c r="B70" s="150">
        <v>5</v>
      </c>
      <c r="C70" s="150">
        <v>5</v>
      </c>
      <c r="D70" s="150" t="s">
        <v>231</v>
      </c>
      <c r="E70" s="150" t="s">
        <v>231</v>
      </c>
      <c r="F70" s="150">
        <v>63</v>
      </c>
      <c r="G70" s="150" t="s">
        <v>234</v>
      </c>
      <c r="H70" s="150" t="s">
        <v>136</v>
      </c>
      <c r="I70" s="151" t="s">
        <v>239</v>
      </c>
      <c r="J70" s="151" t="s">
        <v>240</v>
      </c>
      <c r="K70" s="150" t="s">
        <v>240</v>
      </c>
      <c r="L70" s="150" t="s">
        <v>283</v>
      </c>
      <c r="M70" s="157">
        <v>0</v>
      </c>
      <c r="N70" s="169">
        <v>61.6</v>
      </c>
      <c r="O70" s="157">
        <v>0</v>
      </c>
      <c r="P70" s="157">
        <v>8.9888820216977035</v>
      </c>
      <c r="Q70" s="159">
        <v>1.62764</v>
      </c>
      <c r="R70" s="159">
        <v>1.4626800000000002</v>
      </c>
      <c r="S70" s="159">
        <v>0.13633790008651445</v>
      </c>
      <c r="T70" s="159">
        <v>0.28297599191450817</v>
      </c>
      <c r="U70" s="159">
        <v>0.5534553109892475</v>
      </c>
      <c r="V70" s="159">
        <v>0.51123484737708913</v>
      </c>
      <c r="W70" s="159">
        <v>6.1109231022604259E-2</v>
      </c>
      <c r="X70" s="159">
        <v>0.10662973640305562</v>
      </c>
      <c r="Y70" s="168">
        <v>2048</v>
      </c>
      <c r="Z70" s="168">
        <v>2380</v>
      </c>
      <c r="AA70" s="168">
        <v>441.89365236445747</v>
      </c>
      <c r="AB70" s="168">
        <v>164.31676725154983</v>
      </c>
      <c r="AC70" s="168">
        <v>1676</v>
      </c>
      <c r="AD70" s="168">
        <v>2098</v>
      </c>
      <c r="AE70" s="168">
        <v>78.294316524253531</v>
      </c>
      <c r="AF70" s="168">
        <v>124.57929201917949</v>
      </c>
      <c r="AG70" s="168">
        <v>22.108477539558077</v>
      </c>
      <c r="AH70" s="168">
        <v>29.714496943466674</v>
      </c>
      <c r="AI70" s="157">
        <v>1.6947220412721931</v>
      </c>
      <c r="AJ70" s="157">
        <v>2.9561313948816093</v>
      </c>
      <c r="AK70" s="157">
        <v>28.553521320402769</v>
      </c>
      <c r="AL70" s="157">
        <v>47.08422272659827</v>
      </c>
      <c r="AM70" s="157">
        <v>7.9313727826497367</v>
      </c>
      <c r="AN70" s="157">
        <v>9.3611904477154493</v>
      </c>
      <c r="AO70" s="177">
        <v>26600</v>
      </c>
      <c r="AP70" s="177">
        <v>26200</v>
      </c>
      <c r="AQ70" s="176">
        <v>2880.9720581775869</v>
      </c>
      <c r="AR70" s="176">
        <v>4324.3496620879305</v>
      </c>
      <c r="AS70" s="177">
        <v>31800</v>
      </c>
      <c r="AT70" s="177">
        <v>30200</v>
      </c>
      <c r="AU70" s="176">
        <v>1923.5384061671346</v>
      </c>
      <c r="AV70" s="176">
        <v>2588.435821108957</v>
      </c>
      <c r="AW70" s="177">
        <v>15280</v>
      </c>
      <c r="AX70" s="177">
        <v>14800</v>
      </c>
      <c r="AY70" s="176">
        <v>1380.9417076763234</v>
      </c>
      <c r="AZ70" s="176">
        <v>1809.6961070853858</v>
      </c>
      <c r="BA70" s="177">
        <v>3280</v>
      </c>
      <c r="BB70" s="177">
        <v>3280</v>
      </c>
      <c r="BC70" s="176">
        <v>130.38404810405297</v>
      </c>
      <c r="BD70" s="176">
        <v>216.79483388678798</v>
      </c>
      <c r="BE70" s="167">
        <v>7.3454229997900908</v>
      </c>
      <c r="BF70" s="167">
        <v>10.856481812728296</v>
      </c>
      <c r="BG70" s="183">
        <v>0.46673215488313929</v>
      </c>
      <c r="BH70" s="183">
        <v>2.2414810698702965</v>
      </c>
      <c r="BI70" s="167">
        <v>21.41782218640174</v>
      </c>
      <c r="BJ70" s="167">
        <v>35.395458455718732</v>
      </c>
      <c r="BK70" s="183">
        <v>4.0037333379259152</v>
      </c>
      <c r="BL70" s="183">
        <v>5.053876302244241</v>
      </c>
      <c r="BM70" s="176">
        <v>91.034033872322539</v>
      </c>
      <c r="BN70" s="167">
        <v>80.915924013618607</v>
      </c>
      <c r="BO70" s="183">
        <v>7.7871344135563021</v>
      </c>
      <c r="BP70" s="183">
        <v>6.5465809537027013</v>
      </c>
      <c r="BQ70" s="167">
        <v>103.60522675861698</v>
      </c>
      <c r="BR70" s="167">
        <v>115.5693354503145</v>
      </c>
      <c r="BS70" s="176">
        <v>22.940429909407118</v>
      </c>
      <c r="BT70" s="176">
        <v>30.755766536550048</v>
      </c>
      <c r="BU70" s="177">
        <v>6300</v>
      </c>
      <c r="BV70" s="177">
        <v>6240</v>
      </c>
      <c r="BW70" s="176">
        <v>200</v>
      </c>
      <c r="BX70" s="176">
        <v>439.31765272977594</v>
      </c>
      <c r="BY70" s="177">
        <v>6060</v>
      </c>
      <c r="BZ70" s="177">
        <v>5720</v>
      </c>
      <c r="CA70" s="176">
        <v>439.31765272977594</v>
      </c>
      <c r="CB70" s="176">
        <v>192.35384061671346</v>
      </c>
      <c r="CC70" s="189">
        <v>548</v>
      </c>
      <c r="CD70" s="189">
        <v>722</v>
      </c>
      <c r="CE70" s="189">
        <v>35.637059362410923</v>
      </c>
      <c r="CF70" s="189">
        <v>123.16655390161731</v>
      </c>
      <c r="CG70" s="189">
        <v>6980</v>
      </c>
      <c r="CH70" s="189">
        <v>4920</v>
      </c>
      <c r="CI70" s="189">
        <v>258.84358211089568</v>
      </c>
      <c r="CJ70" s="189">
        <v>870.05746936624826</v>
      </c>
      <c r="CK70" s="189">
        <v>74.026051478792695</v>
      </c>
      <c r="CL70" s="189">
        <v>335.46130898780405</v>
      </c>
      <c r="CM70" s="189">
        <v>12.81492799148908</v>
      </c>
      <c r="CN70" s="189">
        <v>606.37019682247649</v>
      </c>
      <c r="CO70" s="189">
        <v>1682</v>
      </c>
      <c r="CP70" s="189">
        <v>1178</v>
      </c>
      <c r="CQ70" s="189">
        <v>1265.0573109547252</v>
      </c>
      <c r="CR70" s="189">
        <v>219.5905280288747</v>
      </c>
      <c r="CS70" s="189">
        <v>6320</v>
      </c>
      <c r="CT70" s="189">
        <v>6380</v>
      </c>
      <c r="CU70" s="189">
        <v>496.99094559156708</v>
      </c>
      <c r="CV70" s="189">
        <v>867.17933554715194</v>
      </c>
      <c r="CW70" s="189">
        <v>3980</v>
      </c>
      <c r="CX70" s="189">
        <v>3380</v>
      </c>
      <c r="CY70" s="189">
        <v>396.23225512317896</v>
      </c>
      <c r="CZ70" s="189">
        <v>228.03508501982759</v>
      </c>
      <c r="DA70" s="189">
        <v>38.061785548241353</v>
      </c>
      <c r="DB70" s="189">
        <v>41.553488766546721</v>
      </c>
      <c r="DC70" s="189">
        <v>2.0728550547527398</v>
      </c>
      <c r="DD70" s="189">
        <v>4.2257927279542145</v>
      </c>
      <c r="DE70" s="189">
        <v>13.992298763228499</v>
      </c>
      <c r="DF70" s="189">
        <v>12.490368403404519</v>
      </c>
      <c r="DG70" s="189">
        <v>0.80326394054100669</v>
      </c>
      <c r="DH70" s="189">
        <v>0.49629924992511709</v>
      </c>
    </row>
    <row r="71" spans="1:112">
      <c r="A71" s="150" t="s">
        <v>146</v>
      </c>
      <c r="B71" s="150">
        <v>5</v>
      </c>
      <c r="C71" s="150">
        <v>5</v>
      </c>
      <c r="D71" s="150" t="s">
        <v>231</v>
      </c>
      <c r="E71" s="150" t="s">
        <v>231</v>
      </c>
      <c r="F71" s="150">
        <v>63</v>
      </c>
      <c r="G71" s="150" t="s">
        <v>234</v>
      </c>
      <c r="H71" s="150" t="s">
        <v>136</v>
      </c>
      <c r="I71" s="151" t="s">
        <v>239</v>
      </c>
      <c r="J71" s="151" t="s">
        <v>239</v>
      </c>
      <c r="K71" s="150" t="s">
        <v>240</v>
      </c>
      <c r="L71" s="150" t="s">
        <v>283</v>
      </c>
      <c r="M71" s="157">
        <v>0.2</v>
      </c>
      <c r="N71" s="169">
        <v>57.6</v>
      </c>
      <c r="O71" s="157">
        <v>0.44721359549995793</v>
      </c>
      <c r="P71" s="157">
        <v>3.4351128074635602</v>
      </c>
      <c r="Q71" s="159">
        <v>1.6027400000000001</v>
      </c>
      <c r="R71" s="159">
        <v>1.5006799999999998</v>
      </c>
      <c r="S71" s="159">
        <v>7.7055194503675664E-2</v>
      </c>
      <c r="T71" s="159">
        <v>0.13361703484211992</v>
      </c>
      <c r="U71" s="159">
        <v>0.5126975774054181</v>
      </c>
      <c r="V71" s="159">
        <v>0.42706834733794807</v>
      </c>
      <c r="W71" s="159">
        <v>6.0069217968959629E-2</v>
      </c>
      <c r="X71" s="159">
        <v>5.9623590061697089E-2</v>
      </c>
      <c r="Y71" s="168">
        <v>3980</v>
      </c>
      <c r="Z71" s="168">
        <v>4840</v>
      </c>
      <c r="AA71" s="168">
        <v>248.99799195977465</v>
      </c>
      <c r="AB71" s="168">
        <v>384.70768123342691</v>
      </c>
      <c r="AC71" s="168">
        <v>3160</v>
      </c>
      <c r="AD71" s="168">
        <v>3080</v>
      </c>
      <c r="AE71" s="168">
        <v>296.64793948382652</v>
      </c>
      <c r="AF71" s="168">
        <v>389.87177379235857</v>
      </c>
      <c r="AG71" s="168">
        <v>24.030199404987862</v>
      </c>
      <c r="AH71" s="168">
        <v>27.365157789477259</v>
      </c>
      <c r="AI71" s="157">
        <v>3.7682191347663263</v>
      </c>
      <c r="AJ71" s="157">
        <v>4.8821020546169569</v>
      </c>
      <c r="AK71" s="157">
        <v>37.40212262595891</v>
      </c>
      <c r="AL71" s="157">
        <v>35.666584437482904</v>
      </c>
      <c r="AM71" s="157">
        <v>18.529132864184934</v>
      </c>
      <c r="AN71" s="157">
        <v>3.4870277091900785</v>
      </c>
      <c r="AO71" s="177">
        <v>22800</v>
      </c>
      <c r="AP71" s="177">
        <v>23020</v>
      </c>
      <c r="AQ71" s="176">
        <v>1095.4451150103323</v>
      </c>
      <c r="AR71" s="176">
        <v>3346.9388999502216</v>
      </c>
      <c r="AS71" s="177">
        <v>32400</v>
      </c>
      <c r="AT71" s="177">
        <v>30400</v>
      </c>
      <c r="AU71" s="176">
        <v>3974.9213828703582</v>
      </c>
      <c r="AV71" s="176">
        <v>1816.590212458495</v>
      </c>
      <c r="AW71" s="177">
        <v>16140</v>
      </c>
      <c r="AX71" s="177">
        <v>15560</v>
      </c>
      <c r="AY71" s="176">
        <v>1460.4793733565702</v>
      </c>
      <c r="AZ71" s="176">
        <v>993.98189118313417</v>
      </c>
      <c r="BA71" s="177">
        <v>3620</v>
      </c>
      <c r="BB71" s="177">
        <v>3380</v>
      </c>
      <c r="BC71" s="176">
        <v>491.93495504995371</v>
      </c>
      <c r="BD71" s="176">
        <v>277.48873851023217</v>
      </c>
      <c r="BE71" s="167">
        <v>6.8841059607283084</v>
      </c>
      <c r="BF71" s="167">
        <v>9.7442421016817189</v>
      </c>
      <c r="BG71" s="183">
        <v>0.42952331685176448</v>
      </c>
      <c r="BH71" s="183">
        <v>0.99539448233109107</v>
      </c>
      <c r="BI71" s="167">
        <v>22.317353463255518</v>
      </c>
      <c r="BJ71" s="167">
        <v>50.821799853773911</v>
      </c>
      <c r="BK71" s="183">
        <v>2.2723539709803062</v>
      </c>
      <c r="BL71" s="183">
        <v>7.309554127474521</v>
      </c>
      <c r="BM71" s="176">
        <v>72.196113342512234</v>
      </c>
      <c r="BN71" s="167">
        <v>64.613110734436049</v>
      </c>
      <c r="BO71" s="183">
        <v>7.8817393276224115</v>
      </c>
      <c r="BP71" s="183">
        <v>8.4331019803490275</v>
      </c>
      <c r="BQ71" s="167">
        <v>72.72734107094243</v>
      </c>
      <c r="BR71" s="167">
        <v>96.470042080825507</v>
      </c>
      <c r="BS71" s="176">
        <v>8.8304444509532303</v>
      </c>
      <c r="BT71" s="176">
        <v>15.501604544803856</v>
      </c>
      <c r="BU71" s="177">
        <v>6120</v>
      </c>
      <c r="BV71" s="177">
        <v>6480</v>
      </c>
      <c r="BW71" s="176">
        <v>506.95167422546302</v>
      </c>
      <c r="BX71" s="176">
        <v>356.37059362410923</v>
      </c>
      <c r="BY71" s="177">
        <v>5760</v>
      </c>
      <c r="BZ71" s="177">
        <v>5940</v>
      </c>
      <c r="CA71" s="176">
        <v>378.15340802378074</v>
      </c>
      <c r="CB71" s="176">
        <v>403.732584763727</v>
      </c>
      <c r="CC71" s="189">
        <v>586</v>
      </c>
      <c r="CD71" s="189">
        <v>776</v>
      </c>
      <c r="CE71" s="189">
        <v>44.497190922573978</v>
      </c>
      <c r="CF71" s="189">
        <v>112.16059914247963</v>
      </c>
      <c r="CG71" s="189">
        <v>7380</v>
      </c>
      <c r="CH71" s="189">
        <v>5060</v>
      </c>
      <c r="CI71" s="189">
        <v>661.05975524153644</v>
      </c>
      <c r="CJ71" s="189">
        <v>981.32563402776759</v>
      </c>
      <c r="CK71" s="189">
        <v>50.212223041084641</v>
      </c>
      <c r="CL71" s="189">
        <v>52.798535336917894</v>
      </c>
      <c r="CM71" s="189">
        <v>9.5103156968608182</v>
      </c>
      <c r="CN71" s="189">
        <v>4.1012374337832176</v>
      </c>
      <c r="CO71" s="189">
        <v>918</v>
      </c>
      <c r="CP71" s="189">
        <v>1278</v>
      </c>
      <c r="CQ71" s="189">
        <v>433.78566135823348</v>
      </c>
      <c r="CR71" s="189">
        <v>769.98051923409071</v>
      </c>
      <c r="CS71" s="189">
        <v>6340</v>
      </c>
      <c r="CT71" s="189">
        <v>6300</v>
      </c>
      <c r="CU71" s="189">
        <v>585.66201857385283</v>
      </c>
      <c r="CV71" s="189">
        <v>836.66002653407554</v>
      </c>
      <c r="CW71" s="189">
        <v>4100</v>
      </c>
      <c r="CX71" s="189">
        <v>3700</v>
      </c>
      <c r="CY71" s="189">
        <v>418.33001326703777</v>
      </c>
      <c r="CZ71" s="189">
        <v>100</v>
      </c>
      <c r="DA71" s="189">
        <v>35.065391234615724</v>
      </c>
      <c r="DB71" s="189">
        <v>39.697030383161021</v>
      </c>
      <c r="DC71" s="189">
        <v>2.7280442477121927</v>
      </c>
      <c r="DD71" s="189">
        <v>2.3783262882073277</v>
      </c>
      <c r="DE71" s="189">
        <v>14.357067946860729</v>
      </c>
      <c r="DF71" s="189">
        <v>12.650291548255188</v>
      </c>
      <c r="DG71" s="189">
        <v>0.59883459101887893</v>
      </c>
      <c r="DH71" s="189">
        <v>0.50862131068562078</v>
      </c>
    </row>
    <row r="72" spans="1:112">
      <c r="A72" s="150" t="s">
        <v>146</v>
      </c>
      <c r="B72" s="150">
        <v>5</v>
      </c>
      <c r="C72" s="150">
        <v>5</v>
      </c>
      <c r="D72" s="150" t="s">
        <v>231</v>
      </c>
      <c r="E72" s="150" t="s">
        <v>231</v>
      </c>
      <c r="F72" s="150">
        <v>63</v>
      </c>
      <c r="G72" s="150" t="s">
        <v>234</v>
      </c>
      <c r="H72" s="150" t="s">
        <v>136</v>
      </c>
      <c r="I72" s="151" t="s">
        <v>239</v>
      </c>
      <c r="J72" s="151" t="s">
        <v>239</v>
      </c>
      <c r="K72" s="150" t="s">
        <v>240</v>
      </c>
      <c r="L72" s="150" t="s">
        <v>283</v>
      </c>
      <c r="M72" s="157">
        <v>0.4</v>
      </c>
      <c r="N72" s="169">
        <v>51.8</v>
      </c>
      <c r="O72" s="157">
        <v>0.54772255750516607</v>
      </c>
      <c r="P72" s="157">
        <v>10.449880382090496</v>
      </c>
      <c r="Q72" s="159">
        <v>1.5491999999999999</v>
      </c>
      <c r="R72" s="159">
        <v>1.5568</v>
      </c>
      <c r="S72" s="159">
        <v>8.5990464587656718E-2</v>
      </c>
      <c r="T72" s="159">
        <v>9.6643261534366406E-2</v>
      </c>
      <c r="U72" s="159">
        <v>0.51962675058184049</v>
      </c>
      <c r="V72" s="159">
        <v>0.43934659937970427</v>
      </c>
      <c r="W72" s="159">
        <v>5.6377952496944175E-2</v>
      </c>
      <c r="X72" s="159">
        <v>8.5952227616165389E-2</v>
      </c>
      <c r="Y72" s="168">
        <v>4880</v>
      </c>
      <c r="Z72" s="168">
        <v>6040</v>
      </c>
      <c r="AA72" s="168">
        <v>311.44823004794875</v>
      </c>
      <c r="AB72" s="168">
        <v>687.74995456197598</v>
      </c>
      <c r="AC72" s="168">
        <v>5100</v>
      </c>
      <c r="AD72" s="168">
        <v>4040</v>
      </c>
      <c r="AE72" s="168">
        <v>982.34413521942497</v>
      </c>
      <c r="AF72" s="168">
        <v>250.99800796022265</v>
      </c>
      <c r="AG72" s="168">
        <v>21.687113624521082</v>
      </c>
      <c r="AH72" s="168">
        <v>24.528661833086357</v>
      </c>
      <c r="AI72" s="157">
        <v>3.4607964569981364</v>
      </c>
      <c r="AJ72" s="157">
        <v>3.3969969920613114</v>
      </c>
      <c r="AK72" s="157">
        <v>32.170260754206602</v>
      </c>
      <c r="AL72" s="157">
        <v>42.162546380678492</v>
      </c>
      <c r="AM72" s="157">
        <v>8.5189783436977073</v>
      </c>
      <c r="AN72" s="157">
        <v>8.3968795838814234</v>
      </c>
      <c r="AO72" s="177">
        <v>23000</v>
      </c>
      <c r="AP72" s="177">
        <v>23000</v>
      </c>
      <c r="AQ72" s="176">
        <v>2549.5097567963926</v>
      </c>
      <c r="AR72" s="176">
        <v>1224.744871391589</v>
      </c>
      <c r="AS72" s="177">
        <v>30800</v>
      </c>
      <c r="AT72" s="177">
        <v>26800</v>
      </c>
      <c r="AU72" s="176">
        <v>3701.3511046643494</v>
      </c>
      <c r="AV72" s="176">
        <v>2387.4672772626645</v>
      </c>
      <c r="AW72" s="177">
        <v>17200</v>
      </c>
      <c r="AX72" s="177">
        <v>16980</v>
      </c>
      <c r="AY72" s="176">
        <v>1385.6406460551018</v>
      </c>
      <c r="AZ72" s="176">
        <v>1336.7871932360813</v>
      </c>
      <c r="BA72" s="177">
        <v>3520</v>
      </c>
      <c r="BB72" s="177">
        <v>3600</v>
      </c>
      <c r="BC72" s="176">
        <v>342.05262752974141</v>
      </c>
      <c r="BD72" s="176">
        <v>452.76925690687085</v>
      </c>
      <c r="BE72" s="167">
        <v>6.9527163744958687</v>
      </c>
      <c r="BF72" s="167">
        <v>9.6264304257563307</v>
      </c>
      <c r="BG72" s="183">
        <v>0.43066231466664112</v>
      </c>
      <c r="BH72" s="183">
        <v>1.0956803250018394</v>
      </c>
      <c r="BI72" s="167">
        <v>26.193187664779039</v>
      </c>
      <c r="BJ72" s="167">
        <v>41.512376781755982</v>
      </c>
      <c r="BK72" s="183">
        <v>2.364340298632726</v>
      </c>
      <c r="BL72" s="183">
        <v>14.859009087853135</v>
      </c>
      <c r="BM72" s="176">
        <v>71.990773197354784</v>
      </c>
      <c r="BN72" s="167">
        <v>63.017938451114148</v>
      </c>
      <c r="BO72" s="183">
        <v>4.5367069265521813</v>
      </c>
      <c r="BP72" s="183">
        <v>6.2391288007412093</v>
      </c>
      <c r="BQ72" s="167">
        <v>92.881947392583214</v>
      </c>
      <c r="BR72" s="167">
        <v>95.198879902712889</v>
      </c>
      <c r="BS72" s="176">
        <v>29.312830429261901</v>
      </c>
      <c r="BT72" s="176">
        <v>11.132100048217939</v>
      </c>
      <c r="BU72" s="177">
        <v>6220</v>
      </c>
      <c r="BV72" s="177">
        <v>6680</v>
      </c>
      <c r="BW72" s="176">
        <v>481.6637831516918</v>
      </c>
      <c r="BX72" s="176">
        <v>554.07580708780279</v>
      </c>
      <c r="BY72" s="177">
        <v>6020</v>
      </c>
      <c r="BZ72" s="177">
        <v>5640</v>
      </c>
      <c r="CA72" s="176">
        <v>516.72042731055251</v>
      </c>
      <c r="CB72" s="176">
        <v>654.21708935184506</v>
      </c>
      <c r="CC72" s="189">
        <v>644</v>
      </c>
      <c r="CD72" s="189">
        <v>690</v>
      </c>
      <c r="CE72" s="189">
        <v>61.886993787063204</v>
      </c>
      <c r="CF72" s="189">
        <v>26.457513110645905</v>
      </c>
      <c r="CG72" s="189">
        <v>7280</v>
      </c>
      <c r="CH72" s="189">
        <v>5120</v>
      </c>
      <c r="CI72" s="189">
        <v>701.42711667000731</v>
      </c>
      <c r="CJ72" s="189">
        <v>881.47603484156048</v>
      </c>
      <c r="CK72" s="189">
        <v>67.53050910730235</v>
      </c>
      <c r="CL72" s="189">
        <v>48.889078011535695</v>
      </c>
      <c r="CM72" s="189">
        <v>23.654894517325381</v>
      </c>
      <c r="CN72" s="189">
        <v>3.6095086066186393</v>
      </c>
      <c r="CO72" s="189">
        <v>3222</v>
      </c>
      <c r="CP72" s="189">
        <v>2056</v>
      </c>
      <c r="CQ72" s="189">
        <v>3599.3291041526059</v>
      </c>
      <c r="CR72" s="189">
        <v>1183.1652462779659</v>
      </c>
      <c r="CS72" s="189">
        <v>6660</v>
      </c>
      <c r="CT72" s="189">
        <v>6580</v>
      </c>
      <c r="CU72" s="189">
        <v>482.70073544588678</v>
      </c>
      <c r="CV72" s="189">
        <v>614.00325732035003</v>
      </c>
      <c r="CW72" s="189">
        <v>3720</v>
      </c>
      <c r="CX72" s="189">
        <v>3140</v>
      </c>
      <c r="CY72" s="189">
        <v>420.71367935925258</v>
      </c>
      <c r="CZ72" s="189">
        <v>320.93613071762422</v>
      </c>
      <c r="DA72" s="189">
        <v>37.646756227153688</v>
      </c>
      <c r="DB72" s="189">
        <v>40.811020442648569</v>
      </c>
      <c r="DC72" s="189">
        <v>1.8160991219703368</v>
      </c>
      <c r="DD72" s="189">
        <v>2.1568528216455238</v>
      </c>
      <c r="DE72" s="189">
        <v>13.609641042828382</v>
      </c>
      <c r="DF72" s="189">
        <v>12.025554006417217</v>
      </c>
      <c r="DG72" s="189">
        <v>0.61850796491607007</v>
      </c>
      <c r="DH72" s="189">
        <v>0.54027734938218719</v>
      </c>
    </row>
    <row r="73" spans="1:112">
      <c r="A73" s="150" t="s">
        <v>146</v>
      </c>
      <c r="B73" s="150">
        <v>5</v>
      </c>
      <c r="C73" s="150">
        <v>5</v>
      </c>
      <c r="D73" s="150" t="s">
        <v>231</v>
      </c>
      <c r="E73" s="150" t="s">
        <v>231</v>
      </c>
      <c r="F73" s="150">
        <v>63</v>
      </c>
      <c r="G73" s="150" t="s">
        <v>234</v>
      </c>
      <c r="H73" s="150" t="s">
        <v>136</v>
      </c>
      <c r="I73" s="151" t="s">
        <v>239</v>
      </c>
      <c r="J73" s="151" t="s">
        <v>239</v>
      </c>
      <c r="K73" s="150" t="s">
        <v>240</v>
      </c>
      <c r="L73" s="150" t="s">
        <v>283</v>
      </c>
      <c r="M73" s="157">
        <v>0</v>
      </c>
      <c r="N73" s="169">
        <v>41.4</v>
      </c>
      <c r="O73" s="157">
        <v>0</v>
      </c>
      <c r="P73" s="157">
        <v>14.099645385611661</v>
      </c>
      <c r="Q73" s="159">
        <v>1.6392</v>
      </c>
      <c r="R73" s="159">
        <v>1.67008</v>
      </c>
      <c r="S73" s="159">
        <v>0.14668454247125223</v>
      </c>
      <c r="T73" s="159">
        <v>7.652549901829675E-2</v>
      </c>
      <c r="U73" s="159">
        <v>0.54014325696080734</v>
      </c>
      <c r="V73" s="159">
        <v>0.47606597234569109</v>
      </c>
      <c r="W73" s="159">
        <v>5.5601885397797389E-2</v>
      </c>
      <c r="X73" s="159">
        <v>9.5587809631817316E-2</v>
      </c>
      <c r="Y73" s="168">
        <v>5140</v>
      </c>
      <c r="Z73" s="168">
        <v>6640</v>
      </c>
      <c r="AA73" s="168">
        <v>343.51128074635335</v>
      </c>
      <c r="AB73" s="168">
        <v>472.2287581247038</v>
      </c>
      <c r="AC73" s="168">
        <v>6760</v>
      </c>
      <c r="AD73" s="168">
        <v>4980</v>
      </c>
      <c r="AE73" s="168">
        <v>634.82280992415508</v>
      </c>
      <c r="AF73" s="168">
        <v>605.80524923443841</v>
      </c>
      <c r="AG73" s="168">
        <v>17.671254874266527</v>
      </c>
      <c r="AH73" s="168">
        <v>23.443391791875605</v>
      </c>
      <c r="AI73" s="157">
        <v>1.7635172290589713</v>
      </c>
      <c r="AJ73" s="157">
        <v>4.6237017544595496</v>
      </c>
      <c r="AK73" s="157">
        <v>32.16021451446786</v>
      </c>
      <c r="AL73" s="157">
        <v>31.193269689354942</v>
      </c>
      <c r="AM73" s="157">
        <v>9.8541820620870091</v>
      </c>
      <c r="AN73" s="157">
        <v>10.697349596120551</v>
      </c>
      <c r="AO73" s="177">
        <v>25320</v>
      </c>
      <c r="AP73" s="177">
        <v>23400</v>
      </c>
      <c r="AQ73" s="176">
        <v>4112.4202119919601</v>
      </c>
      <c r="AR73" s="176">
        <v>1140.175425099138</v>
      </c>
      <c r="AS73" s="177">
        <v>29600</v>
      </c>
      <c r="AT73" s="177">
        <v>27200</v>
      </c>
      <c r="AU73" s="176">
        <v>2966.4793948382653</v>
      </c>
      <c r="AV73" s="176">
        <v>1643.1676725154985</v>
      </c>
      <c r="AW73" s="177">
        <v>17740</v>
      </c>
      <c r="AX73" s="177">
        <v>16940</v>
      </c>
      <c r="AY73" s="176">
        <v>1221.8837915284744</v>
      </c>
      <c r="AZ73" s="176">
        <v>1709.6783323186851</v>
      </c>
      <c r="BA73" s="177">
        <v>3760</v>
      </c>
      <c r="BB73" s="177">
        <v>3460</v>
      </c>
      <c r="BC73" s="176">
        <v>336.15472627943223</v>
      </c>
      <c r="BD73" s="176">
        <v>466.90470119715008</v>
      </c>
      <c r="BE73" s="167">
        <v>5.6309398108618405</v>
      </c>
      <c r="BF73" s="167">
        <v>8.6631413424467123</v>
      </c>
      <c r="BG73" s="183">
        <v>0.48624764436614559</v>
      </c>
      <c r="BH73" s="183">
        <v>0.4570324012766192</v>
      </c>
      <c r="BI73" s="167">
        <v>31.706794271811425</v>
      </c>
      <c r="BJ73" s="167">
        <v>35.373938204612713</v>
      </c>
      <c r="BK73" s="183">
        <v>5.9660541263576494</v>
      </c>
      <c r="BL73" s="183">
        <v>6.8107552086106464</v>
      </c>
      <c r="BM73" s="176">
        <v>67.357238188390369</v>
      </c>
      <c r="BN73" s="167">
        <v>60.453119268877195</v>
      </c>
      <c r="BO73" s="183">
        <v>11.406847562225906</v>
      </c>
      <c r="BP73" s="183">
        <v>2.1310461622877104</v>
      </c>
      <c r="BQ73" s="167">
        <v>75.106399245184619</v>
      </c>
      <c r="BR73" s="167">
        <v>78.336993375428364</v>
      </c>
      <c r="BS73" s="176">
        <v>20.259419792891634</v>
      </c>
      <c r="BT73" s="176">
        <v>8.8926892156996722</v>
      </c>
      <c r="BU73" s="177">
        <v>5980</v>
      </c>
      <c r="BV73" s="177">
        <v>6440</v>
      </c>
      <c r="BW73" s="176">
        <v>228.03508501982759</v>
      </c>
      <c r="BX73" s="176">
        <v>364.69165057620938</v>
      </c>
      <c r="BY73" s="177">
        <v>7340</v>
      </c>
      <c r="BZ73" s="177">
        <v>6300</v>
      </c>
      <c r="CA73" s="176">
        <v>320.93613071762422</v>
      </c>
      <c r="CB73" s="176">
        <v>489.89794855663564</v>
      </c>
      <c r="CC73" s="189">
        <v>622</v>
      </c>
      <c r="CD73" s="189">
        <v>642</v>
      </c>
      <c r="CE73" s="189">
        <v>70.851958335673402</v>
      </c>
      <c r="CF73" s="189">
        <v>77.910204723129823</v>
      </c>
      <c r="CG73" s="189">
        <v>7860</v>
      </c>
      <c r="CH73" s="189">
        <v>5580</v>
      </c>
      <c r="CI73" s="189">
        <v>861.974477580398</v>
      </c>
      <c r="CJ73" s="189">
        <v>414.7288270665544</v>
      </c>
      <c r="CK73" s="189">
        <v>58.450738423221672</v>
      </c>
      <c r="CL73" s="189">
        <v>69.637240231199215</v>
      </c>
      <c r="CM73" s="189">
        <v>6.2381711383549847</v>
      </c>
      <c r="CN73" s="189">
        <v>42.915824208100268</v>
      </c>
      <c r="CO73" s="189">
        <v>1154</v>
      </c>
      <c r="CP73" s="189">
        <v>1000</v>
      </c>
      <c r="CQ73" s="189">
        <v>314.69032396945414</v>
      </c>
      <c r="CR73" s="189">
        <v>457.32920309116497</v>
      </c>
      <c r="CS73" s="189">
        <v>6560</v>
      </c>
      <c r="CT73" s="189">
        <v>6220</v>
      </c>
      <c r="CU73" s="189">
        <v>522.49401910452525</v>
      </c>
      <c r="CV73" s="189">
        <v>870.05746936624826</v>
      </c>
      <c r="CW73" s="189">
        <v>4240</v>
      </c>
      <c r="CX73" s="189">
        <v>3160</v>
      </c>
      <c r="CY73" s="189">
        <v>181.65902124584949</v>
      </c>
      <c r="CZ73" s="189">
        <v>328.63353450309967</v>
      </c>
      <c r="DA73" s="189">
        <v>36.41741674182795</v>
      </c>
      <c r="DB73" s="189">
        <v>38.007451919672071</v>
      </c>
      <c r="DC73" s="189">
        <v>5.1321213778726182</v>
      </c>
      <c r="DD73" s="189">
        <v>3.1272870329585873</v>
      </c>
      <c r="DE73" s="189">
        <v>14.420982421971777</v>
      </c>
      <c r="DF73" s="189">
        <v>11.755017712890099</v>
      </c>
      <c r="DG73" s="189">
        <v>0.4478197469008644</v>
      </c>
      <c r="DH73" s="189">
        <v>0.81130641254002112</v>
      </c>
    </row>
    <row r="74" spans="1:112">
      <c r="A74" s="150" t="s">
        <v>146</v>
      </c>
      <c r="B74" s="150">
        <v>5</v>
      </c>
      <c r="C74" s="150">
        <v>5</v>
      </c>
      <c r="D74" s="150" t="s">
        <v>231</v>
      </c>
      <c r="E74" s="150" t="s">
        <v>231</v>
      </c>
      <c r="F74" s="150">
        <v>63</v>
      </c>
      <c r="G74" s="150" t="s">
        <v>234</v>
      </c>
      <c r="H74" s="150" t="s">
        <v>136</v>
      </c>
      <c r="I74" s="151" t="s">
        <v>240</v>
      </c>
      <c r="J74" s="151" t="s">
        <v>240</v>
      </c>
      <c r="K74" s="151" t="s">
        <v>241</v>
      </c>
      <c r="L74" s="150" t="s">
        <v>283</v>
      </c>
      <c r="M74" s="157">
        <v>1</v>
      </c>
      <c r="N74" s="169">
        <v>53</v>
      </c>
      <c r="O74" s="157">
        <v>1.4142135623730951</v>
      </c>
      <c r="P74" s="157">
        <v>7.7781745930520225</v>
      </c>
      <c r="Q74" s="159">
        <v>2.504E-2</v>
      </c>
      <c r="R74" s="159">
        <v>3.7560000000000003E-2</v>
      </c>
      <c r="S74" s="159">
        <v>8.8844245733755815E-3</v>
      </c>
      <c r="T74" s="159">
        <v>8.2281832745752254E-3</v>
      </c>
      <c r="U74" s="159">
        <v>1.4289094369844471E-2</v>
      </c>
      <c r="V74" s="159">
        <v>2.7939934056092186E-2</v>
      </c>
      <c r="W74" s="159">
        <v>5.6659265834846156E-3</v>
      </c>
      <c r="X74" s="159">
        <v>9.4051315313033561E-3</v>
      </c>
      <c r="Y74" s="168">
        <v>504</v>
      </c>
      <c r="Z74" s="168">
        <v>1050</v>
      </c>
      <c r="AA74" s="168">
        <v>50.299105359837164</v>
      </c>
      <c r="AB74" s="168">
        <v>46.36809247747852</v>
      </c>
      <c r="AC74" s="168">
        <v>798</v>
      </c>
      <c r="AD74" s="168">
        <v>1694</v>
      </c>
      <c r="AE74" s="168">
        <v>133.30416347586447</v>
      </c>
      <c r="AF74" s="168">
        <v>430.90602223686778</v>
      </c>
      <c r="AG74" s="168">
        <v>1710</v>
      </c>
      <c r="AH74" s="168">
        <v>1412</v>
      </c>
      <c r="AI74" s="157">
        <v>229.67368155711702</v>
      </c>
      <c r="AJ74" s="157">
        <v>232.31444208227779</v>
      </c>
      <c r="AK74" s="157">
        <v>5060</v>
      </c>
      <c r="AL74" s="157">
        <v>4460</v>
      </c>
      <c r="AM74" s="157">
        <v>328.63353450309967</v>
      </c>
      <c r="AN74" s="157">
        <v>1150.2173707608488</v>
      </c>
      <c r="AO74" s="177">
        <v>13020</v>
      </c>
      <c r="AP74" s="177">
        <v>14360</v>
      </c>
      <c r="AQ74" s="176">
        <v>6268.3331117610524</v>
      </c>
      <c r="AR74" s="176">
        <v>2516.545250934304</v>
      </c>
      <c r="AS74" s="177">
        <v>23400</v>
      </c>
      <c r="AT74" s="177">
        <v>21200</v>
      </c>
      <c r="AU74" s="176">
        <v>3049.5901363953813</v>
      </c>
      <c r="AV74" s="176">
        <v>2952.96461204668</v>
      </c>
      <c r="AW74" s="177">
        <v>25800</v>
      </c>
      <c r="AX74" s="177">
        <v>30200</v>
      </c>
      <c r="AY74" s="176">
        <v>2588.435821108957</v>
      </c>
      <c r="AZ74" s="176">
        <v>836.66002653407554</v>
      </c>
      <c r="BA74" s="177">
        <v>3520</v>
      </c>
      <c r="BB74" s="177">
        <v>3380</v>
      </c>
      <c r="BC74" s="176">
        <v>432.43496620879307</v>
      </c>
      <c r="BD74" s="176">
        <v>277.48873851023217</v>
      </c>
      <c r="BE74" s="176">
        <v>35.090883369157005</v>
      </c>
      <c r="BF74" s="167">
        <v>47.158126158568237</v>
      </c>
      <c r="BG74" s="183">
        <v>4.1402142836335498</v>
      </c>
      <c r="BH74" s="183">
        <v>2.5694769474924484</v>
      </c>
      <c r="BI74" s="167">
        <v>31.966178320599887</v>
      </c>
      <c r="BJ74" s="167">
        <v>88.341560955425706</v>
      </c>
      <c r="BK74" s="183">
        <v>4.0396281437837951</v>
      </c>
      <c r="BL74" s="183">
        <v>21.286993671132151</v>
      </c>
      <c r="BM74" s="176">
        <v>368</v>
      </c>
      <c r="BN74" s="167">
        <v>334</v>
      </c>
      <c r="BO74" s="183">
        <v>66.858058601787121</v>
      </c>
      <c r="BP74" s="183">
        <v>32.863353450309965</v>
      </c>
      <c r="BQ74" s="167">
        <v>120.35228136361066</v>
      </c>
      <c r="BR74" s="167">
        <v>175.96515251532429</v>
      </c>
      <c r="BS74" s="176">
        <v>45.427802212331088</v>
      </c>
      <c r="BT74" s="176">
        <v>76.223407179720425</v>
      </c>
      <c r="BU74" s="177">
        <v>33000</v>
      </c>
      <c r="BV74" s="177">
        <v>29000</v>
      </c>
      <c r="BW74" s="176">
        <v>4847.6798574163295</v>
      </c>
      <c r="BX74" s="176">
        <v>707.10678118654755</v>
      </c>
      <c r="BY74" s="177">
        <v>5600</v>
      </c>
      <c r="BZ74" s="177">
        <v>5220</v>
      </c>
      <c r="CA74" s="176">
        <v>1172.6039399558574</v>
      </c>
      <c r="CB74" s="176">
        <v>766.15925237511817</v>
      </c>
      <c r="CC74" s="189">
        <v>2948</v>
      </c>
      <c r="CD74" s="189">
        <v>2584</v>
      </c>
      <c r="CE74" s="189">
        <v>1274.1742424017211</v>
      </c>
      <c r="CF74" s="189">
        <v>446.40788523501686</v>
      </c>
      <c r="CG74" s="189">
        <v>7520</v>
      </c>
      <c r="CH74" s="189">
        <v>3660</v>
      </c>
      <c r="CI74" s="189">
        <v>4730.4333839512001</v>
      </c>
      <c r="CJ74" s="189">
        <v>782.94316524253531</v>
      </c>
      <c r="CK74" s="189">
        <v>618</v>
      </c>
      <c r="CL74" s="189">
        <v>1636</v>
      </c>
      <c r="CM74" s="189">
        <v>95.760116958992896</v>
      </c>
      <c r="CN74" s="189">
        <v>861.99187931209656</v>
      </c>
      <c r="CO74" s="189">
        <v>3694</v>
      </c>
      <c r="CP74" s="189">
        <v>3286</v>
      </c>
      <c r="CQ74" s="189">
        <v>2036.0943003701966</v>
      </c>
      <c r="CR74" s="189">
        <v>2840.1549253517842</v>
      </c>
      <c r="CS74" s="189">
        <v>10080</v>
      </c>
      <c r="CT74" s="189">
        <v>12200</v>
      </c>
      <c r="CU74" s="189">
        <v>2548.9213404889529</v>
      </c>
      <c r="CV74" s="189">
        <v>761.57731058639081</v>
      </c>
      <c r="CW74" s="189">
        <v>3680</v>
      </c>
      <c r="CX74" s="189">
        <v>4060</v>
      </c>
      <c r="CY74" s="189">
        <v>531.03672189407018</v>
      </c>
      <c r="CZ74" s="189">
        <v>502.99105359837165</v>
      </c>
      <c r="DA74" s="189">
        <v>52.530160624587573</v>
      </c>
      <c r="DB74" s="189">
        <v>51.576769971817065</v>
      </c>
      <c r="DC74" s="189">
        <v>17.754314193910322</v>
      </c>
      <c r="DD74" s="189">
        <v>1.4737233552465856</v>
      </c>
      <c r="DE74" s="189">
        <v>21.050557969298247</v>
      </c>
      <c r="DF74" s="189">
        <v>12.525930608507732</v>
      </c>
      <c r="DG74" s="189">
        <v>11.269217755777696</v>
      </c>
      <c r="DH74" s="189">
        <v>4.2025090163558589</v>
      </c>
    </row>
    <row r="75" spans="1:112">
      <c r="A75" s="150" t="s">
        <v>146</v>
      </c>
      <c r="B75" s="150">
        <v>5</v>
      </c>
      <c r="C75" s="150">
        <v>5</v>
      </c>
      <c r="D75" s="150" t="s">
        <v>231</v>
      </c>
      <c r="E75" s="150" t="s">
        <v>231</v>
      </c>
      <c r="F75" s="150">
        <v>63</v>
      </c>
      <c r="G75" s="150" t="s">
        <v>234</v>
      </c>
      <c r="H75" s="150" t="s">
        <v>136</v>
      </c>
      <c r="I75" s="151" t="s">
        <v>239</v>
      </c>
      <c r="J75" s="151" t="s">
        <v>240</v>
      </c>
      <c r="K75" s="151" t="s">
        <v>241</v>
      </c>
      <c r="L75" s="150" t="s">
        <v>283</v>
      </c>
      <c r="M75" s="157">
        <v>0.4</v>
      </c>
      <c r="N75" s="169">
        <v>32.200000000000003</v>
      </c>
      <c r="O75" s="157">
        <v>0.54772255750516607</v>
      </c>
      <c r="P75" s="157">
        <v>7.0142711667000759</v>
      </c>
      <c r="Q75" s="159">
        <v>1.1896999999999998</v>
      </c>
      <c r="R75" s="159">
        <v>1.1357400000000002</v>
      </c>
      <c r="S75" s="159">
        <v>0.10070757171136969</v>
      </c>
      <c r="T75" s="159">
        <v>0.14551093773321636</v>
      </c>
      <c r="U75" s="159">
        <v>0.65916338700764343</v>
      </c>
      <c r="V75" s="159">
        <v>0.43768103460576524</v>
      </c>
      <c r="W75" s="159">
        <v>2.5092267254106446E-2</v>
      </c>
      <c r="X75" s="159">
        <v>2.9382022865983543E-2</v>
      </c>
      <c r="Y75" s="168">
        <v>1656</v>
      </c>
      <c r="Z75" s="168">
        <v>1796</v>
      </c>
      <c r="AA75" s="168">
        <v>153.23185047502363</v>
      </c>
      <c r="AB75" s="168">
        <v>185.68791021496256</v>
      </c>
      <c r="AC75" s="168">
        <v>1500</v>
      </c>
      <c r="AD75" s="168">
        <v>1950</v>
      </c>
      <c r="AE75" s="168">
        <v>120.20815280171308</v>
      </c>
      <c r="AF75" s="168">
        <v>96.695398029068585</v>
      </c>
      <c r="AG75" s="168">
        <v>684</v>
      </c>
      <c r="AH75" s="168">
        <v>556</v>
      </c>
      <c r="AI75" s="157">
        <v>101.39033484509261</v>
      </c>
      <c r="AJ75" s="157">
        <v>49.79959839195493</v>
      </c>
      <c r="AK75" s="157">
        <v>2720</v>
      </c>
      <c r="AL75" s="157">
        <v>2600</v>
      </c>
      <c r="AM75" s="157">
        <v>334.66401061363024</v>
      </c>
      <c r="AN75" s="157">
        <v>200</v>
      </c>
      <c r="AO75" s="177">
        <v>31800</v>
      </c>
      <c r="AP75" s="177">
        <v>32600</v>
      </c>
      <c r="AQ75" s="176">
        <v>2387.4672772626645</v>
      </c>
      <c r="AR75" s="176">
        <v>2880.9720581775869</v>
      </c>
      <c r="AS75" s="177">
        <v>25400</v>
      </c>
      <c r="AT75" s="177">
        <v>32400</v>
      </c>
      <c r="AU75" s="176">
        <v>2701.851217221259</v>
      </c>
      <c r="AV75" s="176">
        <v>1140.175425099138</v>
      </c>
      <c r="AW75" s="177">
        <v>14940</v>
      </c>
      <c r="AX75" s="177">
        <v>15060</v>
      </c>
      <c r="AY75" s="176">
        <v>988.93882520608929</v>
      </c>
      <c r="AZ75" s="176">
        <v>1946.2785001124582</v>
      </c>
      <c r="BA75" s="177">
        <v>3240</v>
      </c>
      <c r="BB75" s="177">
        <v>3340</v>
      </c>
      <c r="BC75" s="176">
        <v>371.48351242013422</v>
      </c>
      <c r="BD75" s="176">
        <v>207.3644135332772</v>
      </c>
      <c r="BE75" s="176">
        <v>12.314026303633593</v>
      </c>
      <c r="BF75" s="167">
        <v>15.447609313822813</v>
      </c>
      <c r="BG75" s="183">
        <v>1.1606701368096297</v>
      </c>
      <c r="BH75" s="183">
        <v>2.0664326409235216</v>
      </c>
      <c r="BI75" s="167">
        <v>22.798418991580977</v>
      </c>
      <c r="BJ75" s="167">
        <v>24.526795922822352</v>
      </c>
      <c r="BK75" s="183">
        <v>0.52373566659641912</v>
      </c>
      <c r="BL75" s="183">
        <v>2.0284687152557788</v>
      </c>
      <c r="BM75" s="176">
        <v>106.52173260497807</v>
      </c>
      <c r="BN75" s="167">
        <v>90.503095223866893</v>
      </c>
      <c r="BO75" s="183">
        <v>5.6494120895189415</v>
      </c>
      <c r="BP75" s="183">
        <v>4.2701580184500436</v>
      </c>
      <c r="BQ75" s="167">
        <v>145.50658639272555</v>
      </c>
      <c r="BR75" s="167">
        <v>108.13754726938551</v>
      </c>
      <c r="BS75" s="176">
        <v>18.41653354830169</v>
      </c>
      <c r="BT75" s="176">
        <v>23.508114842770219</v>
      </c>
      <c r="BU75" s="177">
        <v>6220</v>
      </c>
      <c r="BV75" s="177">
        <v>7120</v>
      </c>
      <c r="BW75" s="176">
        <v>192.35384061671346</v>
      </c>
      <c r="BX75" s="176">
        <v>589.06705900092561</v>
      </c>
      <c r="BY75" s="177">
        <v>6960</v>
      </c>
      <c r="BZ75" s="177">
        <v>6560</v>
      </c>
      <c r="CA75" s="176">
        <v>853.22916030806164</v>
      </c>
      <c r="CB75" s="176">
        <v>415.93268686170842</v>
      </c>
      <c r="CC75" s="189">
        <v>720</v>
      </c>
      <c r="CD75" s="189">
        <v>884</v>
      </c>
      <c r="CE75" s="189">
        <v>40</v>
      </c>
      <c r="CF75" s="189">
        <v>48.785243670601872</v>
      </c>
      <c r="CG75" s="189">
        <v>4660</v>
      </c>
      <c r="CH75" s="189">
        <v>3800</v>
      </c>
      <c r="CI75" s="189">
        <v>585.66201857385283</v>
      </c>
      <c r="CJ75" s="189">
        <v>430.11626335213134</v>
      </c>
      <c r="CK75" s="189">
        <v>67.81062774072528</v>
      </c>
      <c r="CL75" s="189">
        <v>58.483955082946395</v>
      </c>
      <c r="CM75" s="189">
        <v>28.085952925880239</v>
      </c>
      <c r="CN75" s="189">
        <v>11.783575282776507</v>
      </c>
      <c r="CO75" s="189">
        <v>5180</v>
      </c>
      <c r="CP75" s="189">
        <v>644</v>
      </c>
      <c r="CQ75" s="189">
        <v>2233.1591971912794</v>
      </c>
      <c r="CR75" s="189">
        <v>163.64595931461309</v>
      </c>
      <c r="CS75" s="189">
        <v>8260</v>
      </c>
      <c r="CT75" s="189">
        <v>7800</v>
      </c>
      <c r="CU75" s="189">
        <v>602.49481325568274</v>
      </c>
      <c r="CV75" s="189">
        <v>1504.9916943292412</v>
      </c>
      <c r="CW75" s="189">
        <v>4100</v>
      </c>
      <c r="CX75" s="189">
        <v>3480</v>
      </c>
      <c r="CY75" s="189">
        <v>469.04157598234298</v>
      </c>
      <c r="CZ75" s="189">
        <v>164.31676725154983</v>
      </c>
      <c r="DA75" s="189">
        <v>50.677394288445342</v>
      </c>
      <c r="DB75" s="189">
        <v>52.072038627462561</v>
      </c>
      <c r="DC75" s="189">
        <v>4.142219746176262</v>
      </c>
      <c r="DD75" s="189">
        <v>5.7219668175826781</v>
      </c>
      <c r="DE75" s="189">
        <v>12.118737102650936</v>
      </c>
      <c r="DF75" s="189">
        <v>12.661386888951489</v>
      </c>
      <c r="DG75" s="189">
        <v>0.68770470990612376</v>
      </c>
      <c r="DH75" s="189">
        <v>1.0531600167083506</v>
      </c>
    </row>
    <row r="76" spans="1:112">
      <c r="A76" s="150" t="s">
        <v>146</v>
      </c>
      <c r="B76" s="150">
        <v>5</v>
      </c>
      <c r="C76" s="150">
        <v>5</v>
      </c>
      <c r="D76" s="150" t="s">
        <v>231</v>
      </c>
      <c r="E76" s="150" t="s">
        <v>231</v>
      </c>
      <c r="F76" s="150">
        <v>63</v>
      </c>
      <c r="G76" s="150" t="s">
        <v>234</v>
      </c>
      <c r="H76" s="150" t="s">
        <v>136</v>
      </c>
      <c r="I76" s="151" t="s">
        <v>239</v>
      </c>
      <c r="J76" s="151" t="s">
        <v>239</v>
      </c>
      <c r="K76" s="151" t="s">
        <v>241</v>
      </c>
      <c r="L76" s="150" t="s">
        <v>283</v>
      </c>
      <c r="M76" s="157">
        <v>0.2</v>
      </c>
      <c r="N76" s="169">
        <v>26.2</v>
      </c>
      <c r="O76" s="157">
        <v>0.44721359549995793</v>
      </c>
      <c r="P76" s="157">
        <v>4.7644516998286432</v>
      </c>
      <c r="Q76" s="159">
        <v>1.05332</v>
      </c>
      <c r="R76" s="159">
        <v>1.2309600000000001</v>
      </c>
      <c r="S76" s="159">
        <v>0.12874661937309084</v>
      </c>
      <c r="T76" s="159">
        <v>7.7590837087895548E-2</v>
      </c>
      <c r="U76" s="159">
        <v>0.60004872431512268</v>
      </c>
      <c r="V76" s="159">
        <v>0.39030447316369049</v>
      </c>
      <c r="W76" s="159">
        <v>0.1322729005790306</v>
      </c>
      <c r="X76" s="159">
        <v>2.6594885303652494E-2</v>
      </c>
      <c r="Y76" s="168">
        <v>4200</v>
      </c>
      <c r="Z76" s="168">
        <v>4320</v>
      </c>
      <c r="AA76" s="168">
        <v>524.40442408507579</v>
      </c>
      <c r="AB76" s="168">
        <v>506.95167422546302</v>
      </c>
      <c r="AC76" s="168">
        <v>2660</v>
      </c>
      <c r="AD76" s="168">
        <v>2360</v>
      </c>
      <c r="AE76" s="168">
        <v>114.0175425099138</v>
      </c>
      <c r="AF76" s="168">
        <v>207.3644135332772</v>
      </c>
      <c r="AG76" s="168">
        <v>658</v>
      </c>
      <c r="AH76" s="168">
        <v>538</v>
      </c>
      <c r="AI76" s="157">
        <v>102.07840124139877</v>
      </c>
      <c r="AJ76" s="157">
        <v>54.497706373754852</v>
      </c>
      <c r="AK76" s="157">
        <v>2614</v>
      </c>
      <c r="AL76" s="157">
        <v>2740</v>
      </c>
      <c r="AM76" s="157">
        <v>491.40614566771546</v>
      </c>
      <c r="AN76" s="157">
        <v>260.76809620810593</v>
      </c>
      <c r="AO76" s="177">
        <v>30000</v>
      </c>
      <c r="AP76" s="177">
        <v>30400</v>
      </c>
      <c r="AQ76" s="176">
        <v>2121.3203435596424</v>
      </c>
      <c r="AR76" s="176">
        <v>4219.0046219457972</v>
      </c>
      <c r="AS76" s="177">
        <v>28200</v>
      </c>
      <c r="AT76" s="177">
        <v>31400</v>
      </c>
      <c r="AU76" s="176">
        <v>1923.5384061671346</v>
      </c>
      <c r="AV76" s="176">
        <v>547.72255750516615</v>
      </c>
      <c r="AW76" s="177">
        <v>15420</v>
      </c>
      <c r="AX76" s="177">
        <v>15380</v>
      </c>
      <c r="AY76" s="176">
        <v>736.20649277223845</v>
      </c>
      <c r="AZ76" s="176">
        <v>952.36547606473005</v>
      </c>
      <c r="BA76" s="177">
        <v>3380</v>
      </c>
      <c r="BB76" s="177">
        <v>3100</v>
      </c>
      <c r="BC76" s="176">
        <v>268.32815729997475</v>
      </c>
      <c r="BD76" s="176">
        <v>187.08286933869707</v>
      </c>
      <c r="BE76" s="176">
        <v>11.065519094232389</v>
      </c>
      <c r="BF76" s="167">
        <v>13.397481976501529</v>
      </c>
      <c r="BG76" s="183">
        <v>1.2886007121081287</v>
      </c>
      <c r="BH76" s="183">
        <v>1.1983252055834168</v>
      </c>
      <c r="BI76" s="167">
        <v>24.136077118044657</v>
      </c>
      <c r="BJ76" s="167">
        <v>18.785579816734632</v>
      </c>
      <c r="BK76" s="183">
        <v>1.6811234084477276</v>
      </c>
      <c r="BL76" s="183">
        <v>1.2863132842271974</v>
      </c>
      <c r="BM76" s="176">
        <v>76.702512541093682</v>
      </c>
      <c r="BN76" s="167">
        <v>75.294344785105835</v>
      </c>
      <c r="BO76" s="183">
        <v>3.6728239727329917</v>
      </c>
      <c r="BP76" s="183">
        <v>4.1224674583383507</v>
      </c>
      <c r="BQ76" s="167">
        <v>152.24001924019186</v>
      </c>
      <c r="BR76" s="167">
        <v>80.362305743091284</v>
      </c>
      <c r="BS76" s="176">
        <v>39.397073045927044</v>
      </c>
      <c r="BT76" s="176">
        <v>11.823359856734253</v>
      </c>
      <c r="BU76" s="177">
        <v>6080</v>
      </c>
      <c r="BV76" s="177">
        <v>6620</v>
      </c>
      <c r="BW76" s="176">
        <v>363.31804249169898</v>
      </c>
      <c r="BX76" s="176">
        <v>408.65633483405099</v>
      </c>
      <c r="BY76" s="177">
        <v>6280</v>
      </c>
      <c r="BZ76" s="177">
        <v>6760</v>
      </c>
      <c r="CA76" s="176">
        <v>712.03932475671593</v>
      </c>
      <c r="CB76" s="176">
        <v>626.89712074629915</v>
      </c>
      <c r="CC76" s="189">
        <v>928</v>
      </c>
      <c r="CD76" s="189">
        <v>858</v>
      </c>
      <c r="CE76" s="189">
        <v>216.26372788796553</v>
      </c>
      <c r="CF76" s="189">
        <v>81.363382427231969</v>
      </c>
      <c r="CG76" s="189">
        <v>4080</v>
      </c>
      <c r="CH76" s="189">
        <v>3820</v>
      </c>
      <c r="CI76" s="189">
        <v>901.11042608550474</v>
      </c>
      <c r="CJ76" s="189">
        <v>248.99799195977465</v>
      </c>
      <c r="CK76" s="189">
        <v>63.640678819647405</v>
      </c>
      <c r="CL76" s="189">
        <v>59.662858245298615</v>
      </c>
      <c r="CM76" s="189">
        <v>24.018221719462275</v>
      </c>
      <c r="CN76" s="189">
        <v>22.419702485565061</v>
      </c>
      <c r="CO76" s="189">
        <v>5760</v>
      </c>
      <c r="CP76" s="189">
        <v>572</v>
      </c>
      <c r="CQ76" s="189">
        <v>4620.9306421975216</v>
      </c>
      <c r="CR76" s="189">
        <v>202.41047403728888</v>
      </c>
      <c r="CS76" s="189">
        <v>8740</v>
      </c>
      <c r="CT76" s="189">
        <v>8120</v>
      </c>
      <c r="CU76" s="189">
        <v>1169.6153213770756</v>
      </c>
      <c r="CV76" s="189">
        <v>618.06148561449777</v>
      </c>
      <c r="CW76" s="189">
        <v>4460</v>
      </c>
      <c r="CX76" s="189">
        <v>3780</v>
      </c>
      <c r="CY76" s="189">
        <v>594.13803110051788</v>
      </c>
      <c r="CZ76" s="189">
        <v>238.74672772626644</v>
      </c>
      <c r="DA76" s="189">
        <v>45.522619996441854</v>
      </c>
      <c r="DB76" s="189">
        <v>46.661149438336544</v>
      </c>
      <c r="DC76" s="189">
        <v>2.5725276165923057</v>
      </c>
      <c r="DD76" s="189">
        <v>2.5572352768373428</v>
      </c>
      <c r="DE76" s="189">
        <v>12.726066771448174</v>
      </c>
      <c r="DF76" s="189">
        <v>12.277361982633138</v>
      </c>
      <c r="DG76" s="189">
        <v>0.98388108480024372</v>
      </c>
      <c r="DH76" s="189">
        <v>0.55522976623690534</v>
      </c>
    </row>
    <row r="77" spans="1:112">
      <c r="A77" s="150" t="s">
        <v>146</v>
      </c>
      <c r="B77" s="150">
        <v>5</v>
      </c>
      <c r="C77" s="150">
        <v>5</v>
      </c>
      <c r="D77" s="150" t="s">
        <v>231</v>
      </c>
      <c r="E77" s="150" t="s">
        <v>231</v>
      </c>
      <c r="F77" s="150">
        <v>63</v>
      </c>
      <c r="G77" s="150" t="s">
        <v>234</v>
      </c>
      <c r="H77" s="150" t="s">
        <v>136</v>
      </c>
      <c r="I77" s="151" t="s">
        <v>239</v>
      </c>
      <c r="J77" s="151" t="s">
        <v>239</v>
      </c>
      <c r="K77" s="151" t="s">
        <v>241</v>
      </c>
      <c r="L77" s="150" t="s">
        <v>283</v>
      </c>
      <c r="M77" s="157">
        <v>1.6</v>
      </c>
      <c r="N77" s="169">
        <v>28.6</v>
      </c>
      <c r="O77" s="157">
        <v>1.1401754250991378</v>
      </c>
      <c r="P77" s="157">
        <v>11.148990985734985</v>
      </c>
      <c r="Q77" s="159">
        <v>1.2487600000000001</v>
      </c>
      <c r="R77" s="159">
        <v>1.2655000000000001</v>
      </c>
      <c r="S77" s="159">
        <v>0.13583634638785022</v>
      </c>
      <c r="T77" s="159">
        <v>0.12632388926881491</v>
      </c>
      <c r="U77" s="159">
        <v>0.62480661840744456</v>
      </c>
      <c r="V77" s="159">
        <v>0.40845454128581471</v>
      </c>
      <c r="W77" s="159">
        <v>5.175741137637601E-2</v>
      </c>
      <c r="X77" s="159">
        <v>2.2943231859478396E-2</v>
      </c>
      <c r="Y77" s="168">
        <v>5320</v>
      </c>
      <c r="Z77" s="168">
        <v>6520</v>
      </c>
      <c r="AA77" s="168">
        <v>268.32815729997475</v>
      </c>
      <c r="AB77" s="168">
        <v>438.17804600413291</v>
      </c>
      <c r="AC77" s="168">
        <v>4460</v>
      </c>
      <c r="AD77" s="168">
        <v>3760</v>
      </c>
      <c r="AE77" s="168">
        <v>642.6507605223851</v>
      </c>
      <c r="AF77" s="168">
        <v>350.71355833500365</v>
      </c>
      <c r="AG77" s="168">
        <v>652</v>
      </c>
      <c r="AH77" s="168">
        <v>518</v>
      </c>
      <c r="AI77" s="157">
        <v>58.480766068853782</v>
      </c>
      <c r="AJ77" s="157">
        <v>94.973680564670133</v>
      </c>
      <c r="AK77" s="157">
        <v>3040</v>
      </c>
      <c r="AL77" s="157">
        <v>2560</v>
      </c>
      <c r="AM77" s="157">
        <v>391.1521443121589</v>
      </c>
      <c r="AN77" s="157">
        <v>260.76809620810593</v>
      </c>
      <c r="AO77" s="177">
        <v>27400</v>
      </c>
      <c r="AP77" s="177">
        <v>28400</v>
      </c>
      <c r="AQ77" s="176">
        <v>2073.6441353327723</v>
      </c>
      <c r="AR77" s="176">
        <v>1816.590212458495</v>
      </c>
      <c r="AS77" s="177">
        <v>28200</v>
      </c>
      <c r="AT77" s="177">
        <v>31200</v>
      </c>
      <c r="AU77" s="176">
        <v>1923.5384061671346</v>
      </c>
      <c r="AV77" s="176">
        <v>1483.2396974191327</v>
      </c>
      <c r="AW77" s="177">
        <v>15880</v>
      </c>
      <c r="AX77" s="177">
        <v>16140</v>
      </c>
      <c r="AY77" s="176">
        <v>990.95913134699958</v>
      </c>
      <c r="AZ77" s="176">
        <v>1965.4516020497681</v>
      </c>
      <c r="BA77" s="177">
        <v>3440</v>
      </c>
      <c r="BB77" s="177">
        <v>3320</v>
      </c>
      <c r="BC77" s="176">
        <v>350.71355833500365</v>
      </c>
      <c r="BD77" s="176">
        <v>526.30789467763066</v>
      </c>
      <c r="BE77" s="176">
        <v>9.850230339502172</v>
      </c>
      <c r="BF77" s="167">
        <v>12.860487747142415</v>
      </c>
      <c r="BG77" s="183">
        <v>0.85247957384969175</v>
      </c>
      <c r="BH77" s="183">
        <v>1.6204029141223566</v>
      </c>
      <c r="BI77" s="167">
        <v>27.674471252111914</v>
      </c>
      <c r="BJ77" s="167">
        <v>20.499550676873223</v>
      </c>
      <c r="BK77" s="183">
        <v>2.8040338659359416</v>
      </c>
      <c r="BL77" s="183">
        <v>2.2735270674489563</v>
      </c>
      <c r="BM77" s="176">
        <v>78.901515500136966</v>
      </c>
      <c r="BN77" s="167">
        <v>66.511431594937974</v>
      </c>
      <c r="BO77" s="183">
        <v>2.1289602724226842</v>
      </c>
      <c r="BP77" s="183">
        <v>5.7657619640228059</v>
      </c>
      <c r="BQ77" s="167">
        <v>136.44505779631189</v>
      </c>
      <c r="BR77" s="167">
        <v>70.490757897146437</v>
      </c>
      <c r="BS77" s="176">
        <v>14.123956881458424</v>
      </c>
      <c r="BT77" s="176">
        <v>6.5266427958753397</v>
      </c>
      <c r="BU77" s="177">
        <v>6000</v>
      </c>
      <c r="BV77" s="177">
        <v>6660</v>
      </c>
      <c r="BW77" s="176">
        <v>324.03703492039301</v>
      </c>
      <c r="BX77" s="176">
        <v>541.29474410897433</v>
      </c>
      <c r="BY77" s="177">
        <v>8000</v>
      </c>
      <c r="BZ77" s="177">
        <v>6700</v>
      </c>
      <c r="CA77" s="176">
        <v>583.09518948453001</v>
      </c>
      <c r="CB77" s="176">
        <v>273.86127875258308</v>
      </c>
      <c r="CC77" s="189">
        <v>682</v>
      </c>
      <c r="CD77" s="189">
        <v>802</v>
      </c>
      <c r="CE77" s="189">
        <v>38.340579025361627</v>
      </c>
      <c r="CF77" s="189">
        <v>113.00442469213318</v>
      </c>
      <c r="CG77" s="189">
        <v>5020</v>
      </c>
      <c r="CH77" s="189">
        <v>3540</v>
      </c>
      <c r="CI77" s="189">
        <v>712.03932475671593</v>
      </c>
      <c r="CJ77" s="189">
        <v>304.95901363953811</v>
      </c>
      <c r="CK77" s="189">
        <v>45.771346798917918</v>
      </c>
      <c r="CL77" s="189">
        <v>42.986460206213415</v>
      </c>
      <c r="CM77" s="189">
        <v>7.097129423596539</v>
      </c>
      <c r="CN77" s="189">
        <v>2.1426576795355246</v>
      </c>
      <c r="CO77" s="189">
        <v>3700</v>
      </c>
      <c r="CP77" s="189">
        <v>848</v>
      </c>
      <c r="CQ77" s="189">
        <v>1496.6629547095765</v>
      </c>
      <c r="CR77" s="189">
        <v>715.87009994830771</v>
      </c>
      <c r="CS77" s="189">
        <v>7860</v>
      </c>
      <c r="CT77" s="189">
        <v>7660</v>
      </c>
      <c r="CU77" s="189">
        <v>665.5824516917495</v>
      </c>
      <c r="CV77" s="189">
        <v>1499.333185119305</v>
      </c>
      <c r="CW77" s="189">
        <v>4780</v>
      </c>
      <c r="CX77" s="189">
        <v>3720</v>
      </c>
      <c r="CY77" s="189">
        <v>571.83913821983185</v>
      </c>
      <c r="CZ77" s="189">
        <v>294.95762407505254</v>
      </c>
      <c r="DA77" s="189">
        <v>41.730884759984647</v>
      </c>
      <c r="DB77" s="189">
        <v>44.542915591876337</v>
      </c>
      <c r="DC77" s="189">
        <v>1.8499517513538937</v>
      </c>
      <c r="DD77" s="189">
        <v>5.6074388227020995</v>
      </c>
      <c r="DE77" s="189">
        <v>12.565068376538632</v>
      </c>
      <c r="DF77" s="189">
        <v>12.530886231053097</v>
      </c>
      <c r="DG77" s="189">
        <v>0.9334152174588588</v>
      </c>
      <c r="DH77" s="189">
        <v>0.50178580555674079</v>
      </c>
    </row>
    <row r="78" spans="1:112">
      <c r="A78" s="150" t="s">
        <v>146</v>
      </c>
      <c r="B78" s="150">
        <v>5</v>
      </c>
      <c r="C78" s="150">
        <v>5</v>
      </c>
      <c r="D78" s="150" t="s">
        <v>231</v>
      </c>
      <c r="E78" s="150" t="s">
        <v>231</v>
      </c>
      <c r="F78" s="150">
        <v>63</v>
      </c>
      <c r="G78" s="150" t="s">
        <v>234</v>
      </c>
      <c r="H78" s="150" t="s">
        <v>136</v>
      </c>
      <c r="I78" s="151" t="s">
        <v>239</v>
      </c>
      <c r="J78" s="151" t="s">
        <v>239</v>
      </c>
      <c r="K78" s="151" t="s">
        <v>241</v>
      </c>
      <c r="L78" s="150" t="s">
        <v>283</v>
      </c>
      <c r="M78" s="157">
        <v>1</v>
      </c>
      <c r="N78" s="169">
        <v>14.8</v>
      </c>
      <c r="O78" s="157">
        <v>1</v>
      </c>
      <c r="P78" s="157">
        <v>3.1937438845342605</v>
      </c>
      <c r="Q78" s="159">
        <v>1.3081</v>
      </c>
      <c r="R78" s="159">
        <v>1.4176</v>
      </c>
      <c r="S78" s="159">
        <v>0.11985852076510843</v>
      </c>
      <c r="T78" s="159">
        <v>9.4529413411909291E-2</v>
      </c>
      <c r="U78" s="159">
        <v>0.63754281190916684</v>
      </c>
      <c r="V78" s="159">
        <v>0.50483156991177647</v>
      </c>
      <c r="W78" s="159">
        <v>4.0722110275693335E-2</v>
      </c>
      <c r="X78" s="159">
        <v>3.2882568932695137E-2</v>
      </c>
      <c r="Y78" s="168">
        <v>6060</v>
      </c>
      <c r="Z78" s="168">
        <v>7480</v>
      </c>
      <c r="AA78" s="168">
        <v>378.15340802378074</v>
      </c>
      <c r="AB78" s="168">
        <v>563.02753041036988</v>
      </c>
      <c r="AC78" s="168">
        <v>7080</v>
      </c>
      <c r="AD78" s="168">
        <v>5000</v>
      </c>
      <c r="AE78" s="168">
        <v>420.71367935925258</v>
      </c>
      <c r="AF78" s="168">
        <v>632.45553203367592</v>
      </c>
      <c r="AG78" s="168">
        <v>508</v>
      </c>
      <c r="AH78" s="168">
        <v>440</v>
      </c>
      <c r="AI78" s="157">
        <v>74.632432628181164</v>
      </c>
      <c r="AJ78" s="157">
        <v>57.879184513951124</v>
      </c>
      <c r="AK78" s="157">
        <v>2820</v>
      </c>
      <c r="AL78" s="157">
        <v>2300</v>
      </c>
      <c r="AM78" s="157">
        <v>319.37438845342626</v>
      </c>
      <c r="AN78" s="157">
        <v>234.52078799117149</v>
      </c>
      <c r="AO78" s="177">
        <v>26600</v>
      </c>
      <c r="AP78" s="177">
        <v>24800</v>
      </c>
      <c r="AQ78" s="176">
        <v>2607.6809620810595</v>
      </c>
      <c r="AR78" s="176">
        <v>4324.3496620879305</v>
      </c>
      <c r="AS78" s="177">
        <v>29200</v>
      </c>
      <c r="AT78" s="177">
        <v>29200</v>
      </c>
      <c r="AU78" s="176">
        <v>1788.8543819998317</v>
      </c>
      <c r="AV78" s="176">
        <v>1303.8404810405298</v>
      </c>
      <c r="AW78" s="177">
        <v>18600</v>
      </c>
      <c r="AX78" s="177">
        <v>18200</v>
      </c>
      <c r="AY78" s="176">
        <v>754.983443527075</v>
      </c>
      <c r="AZ78" s="176">
        <v>412.31056256176606</v>
      </c>
      <c r="BA78" s="177">
        <v>4080</v>
      </c>
      <c r="BB78" s="177">
        <v>3780</v>
      </c>
      <c r="BC78" s="176">
        <v>481.6637831516918</v>
      </c>
      <c r="BD78" s="176">
        <v>531.03672189407018</v>
      </c>
      <c r="BE78" s="176">
        <v>9.5227303690476042</v>
      </c>
      <c r="BF78" s="167">
        <v>12.492694927088156</v>
      </c>
      <c r="BG78" s="183">
        <v>1.0613939214185633</v>
      </c>
      <c r="BH78" s="183">
        <v>0.43733469843751649</v>
      </c>
      <c r="BI78" s="167">
        <v>32.568787767076437</v>
      </c>
      <c r="BJ78" s="167">
        <v>22.945366036793189</v>
      </c>
      <c r="BK78" s="183">
        <v>4.5059274512837177</v>
      </c>
      <c r="BL78" s="183">
        <v>4.3111213939443873</v>
      </c>
      <c r="BM78" s="176">
        <v>80.765531201587891</v>
      </c>
      <c r="BN78" s="167">
        <v>76.108000644478395</v>
      </c>
      <c r="BO78" s="183">
        <v>6.0153127346348843</v>
      </c>
      <c r="BP78" s="183">
        <v>2.871554778260502</v>
      </c>
      <c r="BQ78" s="167">
        <v>148.14979713387169</v>
      </c>
      <c r="BR78" s="167">
        <v>72.167792707066809</v>
      </c>
      <c r="BS78" s="176">
        <v>34.948002603586339</v>
      </c>
      <c r="BT78" s="176">
        <v>13.292224937803567</v>
      </c>
      <c r="BU78" s="177">
        <v>6460</v>
      </c>
      <c r="BV78" s="177">
        <v>6920</v>
      </c>
      <c r="BW78" s="176">
        <v>357.77087639996637</v>
      </c>
      <c r="BX78" s="176">
        <v>370.13511046643492</v>
      </c>
      <c r="BY78" s="177">
        <v>9820</v>
      </c>
      <c r="BZ78" s="177">
        <v>7540</v>
      </c>
      <c r="CA78" s="176">
        <v>597.49476985158628</v>
      </c>
      <c r="CB78" s="176">
        <v>384.70768123342691</v>
      </c>
      <c r="CC78" s="189">
        <v>648</v>
      </c>
      <c r="CD78" s="189">
        <v>616</v>
      </c>
      <c r="CE78" s="189">
        <v>24.899799195977465</v>
      </c>
      <c r="CF78" s="189">
        <v>87.34987120768983</v>
      </c>
      <c r="CG78" s="189">
        <v>5480</v>
      </c>
      <c r="CH78" s="189">
        <v>4220</v>
      </c>
      <c r="CI78" s="189">
        <v>531.03672189407018</v>
      </c>
      <c r="CJ78" s="189">
        <v>286.35642126552705</v>
      </c>
      <c r="CK78" s="189">
        <v>50.457427078923928</v>
      </c>
      <c r="CL78" s="189">
        <v>47.63530738220318</v>
      </c>
      <c r="CM78" s="189">
        <v>11.069515766069319</v>
      </c>
      <c r="CN78" s="189">
        <v>4.6617483159108959</v>
      </c>
      <c r="CO78" s="189">
        <v>3620</v>
      </c>
      <c r="CP78" s="189">
        <v>1174</v>
      </c>
      <c r="CQ78" s="189">
        <v>704.98226928058273</v>
      </c>
      <c r="CR78" s="189">
        <v>964.1472916520587</v>
      </c>
      <c r="CS78" s="189">
        <v>8440</v>
      </c>
      <c r="CT78" s="189">
        <v>7820</v>
      </c>
      <c r="CU78" s="189">
        <v>531.97744313081546</v>
      </c>
      <c r="CV78" s="189">
        <v>148.32396974191326</v>
      </c>
      <c r="CW78" s="189">
        <v>5340</v>
      </c>
      <c r="CX78" s="189">
        <v>3940</v>
      </c>
      <c r="CY78" s="189">
        <v>669.32802122726048</v>
      </c>
      <c r="CZ78" s="189">
        <v>371.48351242013422</v>
      </c>
      <c r="DA78" s="189">
        <v>43.350469796064608</v>
      </c>
      <c r="DB78" s="189">
        <v>45.792104905700739</v>
      </c>
      <c r="DC78" s="189">
        <v>3.9136416660574316</v>
      </c>
      <c r="DD78" s="189">
        <v>2.6924364866173032</v>
      </c>
      <c r="DE78" s="189">
        <v>13.434659583816199</v>
      </c>
      <c r="DF78" s="189">
        <v>13.181015339946919</v>
      </c>
      <c r="DG78" s="189">
        <v>0.58663133623738917</v>
      </c>
      <c r="DH78" s="189">
        <v>0.7178888232570303</v>
      </c>
    </row>
    <row r="79" spans="1:112">
      <c r="A79" s="150" t="s">
        <v>147</v>
      </c>
      <c r="B79" s="150">
        <v>5</v>
      </c>
      <c r="C79" s="150">
        <v>5</v>
      </c>
      <c r="D79" s="150" t="s">
        <v>231</v>
      </c>
      <c r="E79" s="150" t="s">
        <v>231</v>
      </c>
      <c r="F79" s="150">
        <v>63</v>
      </c>
      <c r="G79" s="150" t="s">
        <v>234</v>
      </c>
      <c r="H79" s="150" t="s">
        <v>136</v>
      </c>
      <c r="I79" s="151" t="s">
        <v>240</v>
      </c>
      <c r="J79" s="151" t="s">
        <v>240</v>
      </c>
      <c r="K79" s="150" t="s">
        <v>240</v>
      </c>
      <c r="L79" s="150" t="s">
        <v>283</v>
      </c>
      <c r="M79" s="170">
        <v>0.8</v>
      </c>
      <c r="N79" s="171">
        <v>50.2</v>
      </c>
      <c r="O79" s="170">
        <v>0.83666002653407556</v>
      </c>
      <c r="P79" s="172">
        <v>16.346238626636548</v>
      </c>
      <c r="Q79" s="173">
        <v>0.21459999999999999</v>
      </c>
      <c r="R79" s="173">
        <v>0.49831999999999999</v>
      </c>
      <c r="S79" s="173">
        <v>3.6315905606221721E-2</v>
      </c>
      <c r="T79" s="173">
        <v>0.20491294981040112</v>
      </c>
      <c r="U79" s="173">
        <v>0.11883766705932948</v>
      </c>
      <c r="V79" s="173">
        <v>0.30800728384058579</v>
      </c>
      <c r="W79" s="173">
        <v>1.9057775456514877E-2</v>
      </c>
      <c r="X79" s="173">
        <v>0.10684022636000665</v>
      </c>
      <c r="Y79" s="171">
        <v>584</v>
      </c>
      <c r="Z79" s="171">
        <v>1402</v>
      </c>
      <c r="AA79" s="171">
        <v>65.80273550544841</v>
      </c>
      <c r="AB79" s="171">
        <v>296.26002092756289</v>
      </c>
      <c r="AC79" s="171">
        <v>714</v>
      </c>
      <c r="AD79" s="171">
        <v>1434</v>
      </c>
      <c r="AE79" s="171">
        <v>93.968079686668062</v>
      </c>
      <c r="AF79" s="171">
        <v>361.84250717681027</v>
      </c>
      <c r="AG79" s="171">
        <v>104.58899234346354</v>
      </c>
      <c r="AH79" s="171">
        <v>65.516869753345901</v>
      </c>
      <c r="AI79" s="171">
        <v>25.518544031212247</v>
      </c>
      <c r="AJ79" s="171">
        <v>9.3142854336409702</v>
      </c>
      <c r="AK79" s="171">
        <v>126.12871685772453</v>
      </c>
      <c r="AL79" s="171">
        <v>78.346059675861142</v>
      </c>
      <c r="AM79" s="171">
        <v>59.249706974790769</v>
      </c>
      <c r="AN79" s="171">
        <v>10.240290036508725</v>
      </c>
      <c r="AO79" s="151">
        <v>28000</v>
      </c>
      <c r="AP79" s="177">
        <v>36200</v>
      </c>
      <c r="AQ79" s="176">
        <v>1581.1388300841897</v>
      </c>
      <c r="AR79" s="176">
        <v>4604.3457732885354</v>
      </c>
      <c r="AS79" s="177">
        <v>26600</v>
      </c>
      <c r="AT79" s="177">
        <v>30600</v>
      </c>
      <c r="AU79" s="176">
        <v>3646.9165057620939</v>
      </c>
      <c r="AV79" s="176">
        <v>2792.8480087537882</v>
      </c>
      <c r="AW79" s="177">
        <v>15580</v>
      </c>
      <c r="AX79" s="177">
        <v>15180</v>
      </c>
      <c r="AY79" s="176">
        <v>1886.001060445089</v>
      </c>
      <c r="AZ79" s="176">
        <v>2233.1591971912794</v>
      </c>
      <c r="BA79" s="177">
        <v>2038</v>
      </c>
      <c r="BB79" s="177">
        <v>2520</v>
      </c>
      <c r="BC79" s="176">
        <v>230.69460331789298</v>
      </c>
      <c r="BD79" s="176">
        <v>319.37438845342626</v>
      </c>
      <c r="BE79" s="167">
        <v>22.415943495751186</v>
      </c>
      <c r="BF79" s="167">
        <v>26.598095612590811</v>
      </c>
      <c r="BG79" s="183">
        <v>2.8553732554056523</v>
      </c>
      <c r="BH79" s="183">
        <v>3.5079094942781928</v>
      </c>
      <c r="BI79" s="167">
        <v>19.155746239355487</v>
      </c>
      <c r="BJ79" s="167">
        <v>51.682464986647823</v>
      </c>
      <c r="BK79" s="183">
        <v>4.4571267802769343</v>
      </c>
      <c r="BL79" s="183">
        <v>27.602549037354258</v>
      </c>
      <c r="BM79" s="177">
        <v>736</v>
      </c>
      <c r="BN79" s="177">
        <v>588</v>
      </c>
      <c r="BO79" s="176">
        <v>100.14988766843426</v>
      </c>
      <c r="BP79" s="176">
        <v>159.90622251807463</v>
      </c>
      <c r="BQ79" s="176">
        <v>161.45435212607862</v>
      </c>
      <c r="BR79" s="176">
        <v>204.58360225540929</v>
      </c>
      <c r="BS79" s="176">
        <v>36.65665596098561</v>
      </c>
      <c r="BT79" s="176">
        <v>28.707096719525055</v>
      </c>
      <c r="BU79" s="177">
        <v>25400</v>
      </c>
      <c r="BV79" s="177">
        <v>19280</v>
      </c>
      <c r="BW79" s="176">
        <v>2073.6441353327723</v>
      </c>
      <c r="BX79" s="176">
        <v>4904.2838417041075</v>
      </c>
      <c r="BY79" s="177">
        <v>3520</v>
      </c>
      <c r="BZ79" s="177">
        <v>3020</v>
      </c>
      <c r="CA79" s="176">
        <v>576.19441163551733</v>
      </c>
      <c r="CB79" s="176">
        <v>349.28498393145964</v>
      </c>
      <c r="CC79" s="189">
        <v>1610</v>
      </c>
      <c r="CD79" s="189">
        <v>1170</v>
      </c>
      <c r="CE79" s="189">
        <v>416.53331199317063</v>
      </c>
      <c r="CF79" s="189">
        <v>163.24827717314508</v>
      </c>
      <c r="CG79" s="189">
        <v>6100</v>
      </c>
      <c r="CH79" s="189">
        <v>5560</v>
      </c>
      <c r="CI79" s="189">
        <v>1456.0219778561036</v>
      </c>
      <c r="CJ79" s="189">
        <v>638.74877690685253</v>
      </c>
      <c r="CK79" s="189">
        <v>268</v>
      </c>
      <c r="CL79" s="189">
        <v>191.01615297917562</v>
      </c>
      <c r="CM79" s="189">
        <v>38.340579025361627</v>
      </c>
      <c r="CN79" s="189">
        <v>33.830596087158725</v>
      </c>
      <c r="CO79" s="189">
        <v>872</v>
      </c>
      <c r="CP79" s="189">
        <v>1854</v>
      </c>
      <c r="CQ79" s="189">
        <v>449.35509343947575</v>
      </c>
      <c r="CR79" s="189">
        <v>1012.9313895817426</v>
      </c>
      <c r="CS79" s="189">
        <v>4540</v>
      </c>
      <c r="CT79" s="189">
        <v>6920</v>
      </c>
      <c r="CU79" s="189">
        <v>403.732584763727</v>
      </c>
      <c r="CV79" s="189">
        <v>1487.2793954062565</v>
      </c>
      <c r="CW79" s="189">
        <v>2388</v>
      </c>
      <c r="CX79" s="189">
        <v>2840</v>
      </c>
      <c r="CY79" s="189">
        <v>459.04248169423272</v>
      </c>
      <c r="CZ79" s="189">
        <v>497.9959839195493</v>
      </c>
      <c r="DA79" s="190" t="s">
        <v>132</v>
      </c>
      <c r="DB79" s="190" t="s">
        <v>132</v>
      </c>
      <c r="DC79" s="190" t="s">
        <v>132</v>
      </c>
      <c r="DD79" s="190" t="s">
        <v>132</v>
      </c>
      <c r="DE79" s="190" t="s">
        <v>132</v>
      </c>
      <c r="DF79" s="190" t="s">
        <v>132</v>
      </c>
      <c r="DG79" s="190" t="s">
        <v>132</v>
      </c>
      <c r="DH79" s="190" t="s">
        <v>132</v>
      </c>
    </row>
    <row r="80" spans="1:112">
      <c r="A80" s="150" t="s">
        <v>147</v>
      </c>
      <c r="B80" s="150">
        <v>5</v>
      </c>
      <c r="C80" s="150">
        <v>5</v>
      </c>
      <c r="D80" s="150" t="s">
        <v>231</v>
      </c>
      <c r="E80" s="150" t="s">
        <v>231</v>
      </c>
      <c r="F80" s="150">
        <v>63</v>
      </c>
      <c r="G80" s="150" t="s">
        <v>234</v>
      </c>
      <c r="H80" s="150" t="s">
        <v>136</v>
      </c>
      <c r="I80" s="151" t="s">
        <v>240</v>
      </c>
      <c r="J80" s="151" t="s">
        <v>240</v>
      </c>
      <c r="K80" s="151" t="s">
        <v>241</v>
      </c>
      <c r="L80" s="150" t="s">
        <v>283</v>
      </c>
      <c r="M80" s="170">
        <v>0.4</v>
      </c>
      <c r="N80" s="171">
        <v>48.6</v>
      </c>
      <c r="O80" s="170">
        <v>0.54772255750516607</v>
      </c>
      <c r="P80" s="172">
        <v>4.8785199599444988</v>
      </c>
      <c r="Q80" s="173">
        <v>0.25063999999999997</v>
      </c>
      <c r="R80" s="173">
        <v>0.35872000000000004</v>
      </c>
      <c r="S80" s="173">
        <v>7.8687025614138081E-2</v>
      </c>
      <c r="T80" s="173">
        <v>0.1051929275189163</v>
      </c>
      <c r="U80" s="173">
        <v>0.13401439620227379</v>
      </c>
      <c r="V80" s="173">
        <v>0.22121909851065674</v>
      </c>
      <c r="W80" s="173">
        <v>2.9326046277523676E-2</v>
      </c>
      <c r="X80" s="173">
        <v>7.4683989395726749E-2</v>
      </c>
      <c r="Y80" s="171">
        <v>638</v>
      </c>
      <c r="Z80" s="171">
        <v>1268</v>
      </c>
      <c r="AA80" s="171">
        <v>61.806148561449774</v>
      </c>
      <c r="AB80" s="171">
        <v>96.79876032264049</v>
      </c>
      <c r="AC80" s="171">
        <v>712</v>
      </c>
      <c r="AD80" s="171">
        <v>1516</v>
      </c>
      <c r="AE80" s="171">
        <v>57.18391382198319</v>
      </c>
      <c r="AF80" s="171">
        <v>70.569115057509407</v>
      </c>
      <c r="AG80" s="171">
        <v>820</v>
      </c>
      <c r="AH80" s="171">
        <v>732</v>
      </c>
      <c r="AI80" s="171">
        <v>125.89678312014172</v>
      </c>
      <c r="AJ80" s="171">
        <v>90.664215653145092</v>
      </c>
      <c r="AK80" s="171">
        <v>1894</v>
      </c>
      <c r="AL80" s="171">
        <v>2062</v>
      </c>
      <c r="AM80" s="171">
        <v>374.27262790645005</v>
      </c>
      <c r="AN80" s="171">
        <v>150.06665185843255</v>
      </c>
      <c r="AO80" s="151">
        <v>28400</v>
      </c>
      <c r="AP80" s="177">
        <v>30200</v>
      </c>
      <c r="AQ80" s="176">
        <v>1516.57508881031</v>
      </c>
      <c r="AR80" s="176">
        <v>2167.94833886788</v>
      </c>
      <c r="AS80" s="177">
        <v>28000</v>
      </c>
      <c r="AT80" s="177">
        <v>30400</v>
      </c>
      <c r="AU80" s="176">
        <v>1000</v>
      </c>
      <c r="AV80" s="176">
        <v>2190.8902300206646</v>
      </c>
      <c r="AW80" s="177">
        <v>18000</v>
      </c>
      <c r="AX80" s="177">
        <v>19280</v>
      </c>
      <c r="AY80" s="176">
        <v>1246.9963913339925</v>
      </c>
      <c r="AZ80" s="176">
        <v>1938.2982226685347</v>
      </c>
      <c r="BA80" s="177">
        <v>2052</v>
      </c>
      <c r="BB80" s="177">
        <v>2340</v>
      </c>
      <c r="BC80" s="176">
        <v>67.230945255886439</v>
      </c>
      <c r="BD80" s="176">
        <v>279.28480087537883</v>
      </c>
      <c r="BE80" s="167">
        <v>31.659926028109027</v>
      </c>
      <c r="BF80" s="167">
        <v>35.071251708350914</v>
      </c>
      <c r="BG80" s="183">
        <v>3.8293615131646566</v>
      </c>
      <c r="BH80" s="183">
        <v>3.4994572951258114</v>
      </c>
      <c r="BI80" s="167">
        <v>16.80309670935198</v>
      </c>
      <c r="BJ80" s="167">
        <v>38.947535997552322</v>
      </c>
      <c r="BK80" s="183">
        <v>3.5276756208614293</v>
      </c>
      <c r="BL80" s="183">
        <v>3.3698221799011931</v>
      </c>
      <c r="BM80" s="177">
        <v>804</v>
      </c>
      <c r="BN80" s="177">
        <v>796</v>
      </c>
      <c r="BO80" s="176">
        <v>33.61547262794322</v>
      </c>
      <c r="BP80" s="176">
        <v>148.42506526863986</v>
      </c>
      <c r="BQ80" s="176">
        <v>131.63615692407316</v>
      </c>
      <c r="BR80" s="176">
        <v>193.46440208083851</v>
      </c>
      <c r="BS80" s="176">
        <v>7.0926944348153205</v>
      </c>
      <c r="BT80" s="176">
        <v>22.232821514969135</v>
      </c>
      <c r="BU80" s="177">
        <v>25800</v>
      </c>
      <c r="BV80" s="177">
        <v>23400</v>
      </c>
      <c r="BW80" s="176">
        <v>1483.2396974191327</v>
      </c>
      <c r="BX80" s="176">
        <v>1516.57508881031</v>
      </c>
      <c r="BY80" s="177">
        <v>3700</v>
      </c>
      <c r="BZ80" s="177">
        <v>3800</v>
      </c>
      <c r="CA80" s="176">
        <v>200</v>
      </c>
      <c r="CB80" s="176">
        <v>380.7886552931954</v>
      </c>
      <c r="CC80" s="189">
        <v>1318</v>
      </c>
      <c r="CD80" s="189">
        <v>1206</v>
      </c>
      <c r="CE80" s="189">
        <v>304.49958949069207</v>
      </c>
      <c r="CF80" s="189">
        <v>215.24404753674375</v>
      </c>
      <c r="CG80" s="189">
        <v>6860</v>
      </c>
      <c r="CH80" s="189">
        <v>7620</v>
      </c>
      <c r="CI80" s="189">
        <v>472.2287581247038</v>
      </c>
      <c r="CJ80" s="189">
        <v>892.74856482662574</v>
      </c>
      <c r="CK80" s="189">
        <v>266</v>
      </c>
      <c r="CL80" s="189">
        <v>229.84760476987572</v>
      </c>
      <c r="CM80" s="189">
        <v>56.833088953531288</v>
      </c>
      <c r="CN80" s="189">
        <v>37.05291787123015</v>
      </c>
      <c r="CO80" s="189">
        <v>334</v>
      </c>
      <c r="CP80" s="189">
        <v>794</v>
      </c>
      <c r="CQ80" s="189">
        <v>77.974354758471705</v>
      </c>
      <c r="CR80" s="189">
        <v>519.11463088608855</v>
      </c>
      <c r="CS80" s="189">
        <v>6300</v>
      </c>
      <c r="CT80" s="189">
        <v>7460</v>
      </c>
      <c r="CU80" s="189">
        <v>777.81745930520231</v>
      </c>
      <c r="CV80" s="189">
        <v>559.46402922797461</v>
      </c>
      <c r="CW80" s="189">
        <v>2640</v>
      </c>
      <c r="CX80" s="189">
        <v>3540</v>
      </c>
      <c r="CY80" s="189">
        <v>167.33200530681512</v>
      </c>
      <c r="CZ80" s="189">
        <v>313.04951684997053</v>
      </c>
      <c r="DA80" s="190" t="s">
        <v>132</v>
      </c>
      <c r="DB80" s="190" t="s">
        <v>132</v>
      </c>
      <c r="DC80" s="190" t="s">
        <v>132</v>
      </c>
      <c r="DD80" s="190" t="s">
        <v>132</v>
      </c>
      <c r="DE80" s="190" t="s">
        <v>132</v>
      </c>
      <c r="DF80" s="190" t="s">
        <v>132</v>
      </c>
      <c r="DG80" s="190" t="s">
        <v>132</v>
      </c>
      <c r="DH80" s="190" t="s">
        <v>132</v>
      </c>
    </row>
    <row r="81" spans="1:112">
      <c r="A81" s="150" t="s">
        <v>147</v>
      </c>
      <c r="B81" s="150">
        <v>5</v>
      </c>
      <c r="C81" s="150">
        <v>5</v>
      </c>
      <c r="D81" s="150" t="s">
        <v>231</v>
      </c>
      <c r="E81" s="150" t="s">
        <v>231</v>
      </c>
      <c r="F81" s="150">
        <v>63</v>
      </c>
      <c r="G81" s="150" t="s">
        <v>234</v>
      </c>
      <c r="H81" s="150" t="s">
        <v>136</v>
      </c>
      <c r="I81" s="151" t="s">
        <v>240</v>
      </c>
      <c r="J81" s="151" t="s">
        <v>240</v>
      </c>
      <c r="K81" s="151" t="s">
        <v>241</v>
      </c>
      <c r="L81" s="150" t="s">
        <v>283</v>
      </c>
      <c r="M81" s="170">
        <v>0.4</v>
      </c>
      <c r="N81" s="171">
        <v>45.8</v>
      </c>
      <c r="O81" s="170">
        <v>0.54772255750516607</v>
      </c>
      <c r="P81" s="172">
        <v>8.8712940324128819</v>
      </c>
      <c r="Q81" s="173">
        <v>0.11807999999999999</v>
      </c>
      <c r="R81" s="173">
        <v>0.12778</v>
      </c>
      <c r="S81" s="173">
        <v>4.6141488922660526E-2</v>
      </c>
      <c r="T81" s="173">
        <v>4.5445648856628676E-2</v>
      </c>
      <c r="U81" s="173">
        <v>6.9011430672775514E-2</v>
      </c>
      <c r="V81" s="173">
        <v>7.9670084687386039E-2</v>
      </c>
      <c r="W81" s="173">
        <v>2.4834793428363536E-2</v>
      </c>
      <c r="X81" s="173">
        <v>2.5204676301416252E-2</v>
      </c>
      <c r="Y81" s="171">
        <v>648</v>
      </c>
      <c r="Z81" s="171">
        <v>1416</v>
      </c>
      <c r="AA81" s="171">
        <v>65.726706900619931</v>
      </c>
      <c r="AB81" s="171">
        <v>145.3616180427282</v>
      </c>
      <c r="AC81" s="171">
        <v>832</v>
      </c>
      <c r="AD81" s="171">
        <v>1740</v>
      </c>
      <c r="AE81" s="171">
        <v>88.713020464867498</v>
      </c>
      <c r="AF81" s="171">
        <v>224.61077445216202</v>
      </c>
      <c r="AG81" s="171">
        <v>1966</v>
      </c>
      <c r="AH81" s="171">
        <v>1772</v>
      </c>
      <c r="AI81" s="171">
        <v>199.19839356781972</v>
      </c>
      <c r="AJ81" s="171">
        <v>108.25894882179486</v>
      </c>
      <c r="AK81" s="171">
        <v>4820</v>
      </c>
      <c r="AL81" s="171">
        <v>4540</v>
      </c>
      <c r="AM81" s="171">
        <v>580.51701094799967</v>
      </c>
      <c r="AN81" s="171">
        <v>804.9844718999243</v>
      </c>
      <c r="AO81" s="151">
        <v>25200</v>
      </c>
      <c r="AP81" s="177">
        <v>27000</v>
      </c>
      <c r="AQ81" s="176">
        <v>3898.7177379235854</v>
      </c>
      <c r="AR81" s="176">
        <v>2236.0679774997898</v>
      </c>
      <c r="AS81" s="177">
        <v>31600</v>
      </c>
      <c r="AT81" s="177">
        <v>35800</v>
      </c>
      <c r="AU81" s="176">
        <v>3130.4951684997054</v>
      </c>
      <c r="AV81" s="176">
        <v>3114.4823004794875</v>
      </c>
      <c r="AW81" s="177">
        <v>20740</v>
      </c>
      <c r="AX81" s="177">
        <v>23200</v>
      </c>
      <c r="AY81" s="176">
        <v>2864.9607327151971</v>
      </c>
      <c r="AZ81" s="176">
        <v>1095.4451150103323</v>
      </c>
      <c r="BA81" s="177">
        <v>2224</v>
      </c>
      <c r="BB81" s="177">
        <v>2580</v>
      </c>
      <c r="BC81" s="176">
        <v>252.74493071078598</v>
      </c>
      <c r="BD81" s="176">
        <v>311.44823004794875</v>
      </c>
      <c r="BE81" s="167">
        <v>40.52721460039858</v>
      </c>
      <c r="BF81" s="167">
        <v>45.076714925891245</v>
      </c>
      <c r="BG81" s="183">
        <v>6.3000605642707903</v>
      </c>
      <c r="BH81" s="183">
        <v>1.7402644653871935</v>
      </c>
      <c r="BI81" s="167">
        <v>24.470511428009495</v>
      </c>
      <c r="BJ81" s="167">
        <v>46.059561040303322</v>
      </c>
      <c r="BK81" s="183">
        <v>2.0554769576272593</v>
      </c>
      <c r="BL81" s="183">
        <v>7.7952421810678967</v>
      </c>
      <c r="BM81" s="177">
        <v>800</v>
      </c>
      <c r="BN81" s="177">
        <v>838</v>
      </c>
      <c r="BO81" s="176">
        <v>136.38181696985856</v>
      </c>
      <c r="BP81" s="176">
        <v>67.970581871865718</v>
      </c>
      <c r="BQ81" s="176">
        <v>137.43657312740385</v>
      </c>
      <c r="BR81" s="176">
        <v>215.44814383561643</v>
      </c>
      <c r="BS81" s="176">
        <v>5.8629951841475663</v>
      </c>
      <c r="BT81" s="176">
        <v>29.684840928079048</v>
      </c>
      <c r="BU81" s="177">
        <v>26600</v>
      </c>
      <c r="BV81" s="177">
        <v>25200</v>
      </c>
      <c r="BW81" s="176">
        <v>2966.4793948382653</v>
      </c>
      <c r="BX81" s="176">
        <v>1923.5384061671346</v>
      </c>
      <c r="BY81" s="177">
        <v>3800</v>
      </c>
      <c r="BZ81" s="177">
        <v>4680</v>
      </c>
      <c r="CA81" s="176">
        <v>484.76798574163291</v>
      </c>
      <c r="CB81" s="176">
        <v>1052.140675005011</v>
      </c>
      <c r="CC81" s="189">
        <v>2338</v>
      </c>
      <c r="CD81" s="189">
        <v>2100</v>
      </c>
      <c r="CE81" s="189">
        <v>812.9083589187652</v>
      </c>
      <c r="CF81" s="189">
        <v>365.44493429243209</v>
      </c>
      <c r="CG81" s="189">
        <v>8720</v>
      </c>
      <c r="CH81" s="189">
        <v>7460</v>
      </c>
      <c r="CI81" s="189">
        <v>925.74294488264934</v>
      </c>
      <c r="CJ81" s="189">
        <v>1182.3705003085961</v>
      </c>
      <c r="CK81" s="189">
        <v>356</v>
      </c>
      <c r="CL81" s="189">
        <v>308</v>
      </c>
      <c r="CM81" s="189">
        <v>46.151923036857305</v>
      </c>
      <c r="CN81" s="189">
        <v>16.431676725154983</v>
      </c>
      <c r="CO81" s="189">
        <v>520</v>
      </c>
      <c r="CP81" s="189">
        <v>576</v>
      </c>
      <c r="CQ81" s="189">
        <v>82.764726786234249</v>
      </c>
      <c r="CR81" s="189">
        <v>79.874902190863438</v>
      </c>
      <c r="CS81" s="189">
        <v>9300</v>
      </c>
      <c r="CT81" s="189">
        <v>10660</v>
      </c>
      <c r="CU81" s="189">
        <v>1776.2319668331611</v>
      </c>
      <c r="CV81" s="189">
        <v>750.33325929216278</v>
      </c>
      <c r="CW81" s="189">
        <v>4080</v>
      </c>
      <c r="CX81" s="189">
        <v>4540</v>
      </c>
      <c r="CY81" s="189">
        <v>349.28498393145964</v>
      </c>
      <c r="CZ81" s="189">
        <v>642.6507605223851</v>
      </c>
      <c r="DA81" s="190" t="s">
        <v>132</v>
      </c>
      <c r="DB81" s="190" t="s">
        <v>132</v>
      </c>
      <c r="DC81" s="190" t="s">
        <v>132</v>
      </c>
      <c r="DD81" s="190" t="s">
        <v>132</v>
      </c>
      <c r="DE81" s="190" t="s">
        <v>132</v>
      </c>
      <c r="DF81" s="190" t="s">
        <v>132</v>
      </c>
      <c r="DG81" s="190" t="s">
        <v>132</v>
      </c>
      <c r="DH81" s="190" t="s">
        <v>132</v>
      </c>
    </row>
    <row r="82" spans="1:112">
      <c r="A82" s="150" t="s">
        <v>147</v>
      </c>
      <c r="B82" s="150">
        <v>5</v>
      </c>
      <c r="C82" s="150">
        <v>5</v>
      </c>
      <c r="D82" s="150" t="s">
        <v>231</v>
      </c>
      <c r="E82" s="150" t="s">
        <v>231</v>
      </c>
      <c r="F82" s="150">
        <v>63</v>
      </c>
      <c r="G82" s="150" t="s">
        <v>234</v>
      </c>
      <c r="H82" s="150" t="s">
        <v>136</v>
      </c>
      <c r="I82" s="151" t="s">
        <v>240</v>
      </c>
      <c r="J82" s="151" t="s">
        <v>240</v>
      </c>
      <c r="K82" s="151" t="s">
        <v>241</v>
      </c>
      <c r="L82" s="150" t="s">
        <v>283</v>
      </c>
      <c r="M82" s="170">
        <v>0.8</v>
      </c>
      <c r="N82" s="171">
        <v>39.799999999999997</v>
      </c>
      <c r="O82" s="170">
        <v>0.83666002653407556</v>
      </c>
      <c r="P82" s="172">
        <v>7.6941466739960127</v>
      </c>
      <c r="Q82" s="173">
        <v>6.5720000000000001E-2</v>
      </c>
      <c r="R82" s="173">
        <v>5.6660000000000002E-2</v>
      </c>
      <c r="S82" s="173">
        <v>9.1682604675041475E-3</v>
      </c>
      <c r="T82" s="173">
        <v>1.782759097578809E-2</v>
      </c>
      <c r="U82" s="173">
        <v>4.9560551091874877E-2</v>
      </c>
      <c r="V82" s="173">
        <v>3.8714795881510944E-2</v>
      </c>
      <c r="W82" s="173">
        <v>9.1227843515806969E-3</v>
      </c>
      <c r="X82" s="173">
        <v>9.7494624979382917E-3</v>
      </c>
      <c r="Y82" s="171">
        <v>638</v>
      </c>
      <c r="Z82" s="171">
        <v>1070</v>
      </c>
      <c r="AA82" s="171">
        <v>34.928498393145958</v>
      </c>
      <c r="AB82" s="171">
        <v>228.36374493338474</v>
      </c>
      <c r="AC82" s="171">
        <v>848</v>
      </c>
      <c r="AD82" s="171">
        <v>1490</v>
      </c>
      <c r="AE82" s="171">
        <v>29.49576240750525</v>
      </c>
      <c r="AF82" s="171">
        <v>131.33925536563697</v>
      </c>
      <c r="AG82" s="171">
        <v>3640</v>
      </c>
      <c r="AH82" s="171">
        <v>3740</v>
      </c>
      <c r="AI82" s="171">
        <v>409.87803063838396</v>
      </c>
      <c r="AJ82" s="171">
        <v>820.36577207974733</v>
      </c>
      <c r="AK82" s="171">
        <v>7340</v>
      </c>
      <c r="AL82" s="171">
        <v>6600</v>
      </c>
      <c r="AM82" s="171">
        <v>433.58966777357597</v>
      </c>
      <c r="AN82" s="171">
        <v>484.76798574163291</v>
      </c>
      <c r="AO82" s="151">
        <v>23640</v>
      </c>
      <c r="AP82" s="177">
        <v>20800</v>
      </c>
      <c r="AQ82" s="176">
        <v>3427.5355578024278</v>
      </c>
      <c r="AR82" s="176">
        <v>2793.7430089397985</v>
      </c>
      <c r="AS82" s="177">
        <v>30400</v>
      </c>
      <c r="AT82" s="177">
        <v>31600</v>
      </c>
      <c r="AU82" s="176">
        <v>1140.175425099138</v>
      </c>
      <c r="AV82" s="176">
        <v>1816.590212458495</v>
      </c>
      <c r="AW82" s="177">
        <v>21600</v>
      </c>
      <c r="AX82" s="177">
        <v>24600</v>
      </c>
      <c r="AY82" s="176">
        <v>1949.3588689617927</v>
      </c>
      <c r="AZ82" s="176">
        <v>2701.851217221259</v>
      </c>
      <c r="BA82" s="177">
        <v>2200</v>
      </c>
      <c r="BB82" s="177">
        <v>2560</v>
      </c>
      <c r="BC82" s="176">
        <v>158.11388300841898</v>
      </c>
      <c r="BD82" s="176">
        <v>151.65750888103102</v>
      </c>
      <c r="BE82" s="167">
        <v>39.467189258695861</v>
      </c>
      <c r="BF82" s="167">
        <v>44.353843100834098</v>
      </c>
      <c r="BG82" s="183">
        <v>2.5754302529946362</v>
      </c>
      <c r="BH82" s="183">
        <v>7.0293815271623759</v>
      </c>
      <c r="BI82" s="167">
        <v>34.441579655300202</v>
      </c>
      <c r="BJ82" s="167">
        <v>39.346525010306244</v>
      </c>
      <c r="BK82" s="183">
        <v>3.9134840428897597</v>
      </c>
      <c r="BL82" s="183">
        <v>10.633634808296922</v>
      </c>
      <c r="BM82" s="177">
        <v>772</v>
      </c>
      <c r="BN82" s="177">
        <v>908</v>
      </c>
      <c r="BO82" s="176">
        <v>76.615925237511817</v>
      </c>
      <c r="BP82" s="176">
        <v>139.17614738165446</v>
      </c>
      <c r="BQ82" s="176">
        <v>154.32922489334061</v>
      </c>
      <c r="BR82" s="176">
        <v>206.86828100000002</v>
      </c>
      <c r="BS82" s="176">
        <v>21.487140926406052</v>
      </c>
      <c r="BT82" s="176">
        <v>37.953961512269004</v>
      </c>
      <c r="BU82" s="177">
        <v>26400</v>
      </c>
      <c r="BV82" s="177">
        <v>26600</v>
      </c>
      <c r="BW82" s="176">
        <v>1816.590212458495</v>
      </c>
      <c r="BX82" s="176">
        <v>1140.175425099138</v>
      </c>
      <c r="BY82" s="177">
        <v>3820</v>
      </c>
      <c r="BZ82" s="177">
        <v>4180</v>
      </c>
      <c r="CA82" s="176">
        <v>216.79483388678798</v>
      </c>
      <c r="CB82" s="176">
        <v>729.38330115241877</v>
      </c>
      <c r="CC82" s="189">
        <v>3100</v>
      </c>
      <c r="CD82" s="189">
        <v>3880</v>
      </c>
      <c r="CE82" s="189">
        <v>583.09518948453001</v>
      </c>
      <c r="CF82" s="189">
        <v>1482.2280526288794</v>
      </c>
      <c r="CG82" s="189">
        <v>9400</v>
      </c>
      <c r="CH82" s="189">
        <v>7160</v>
      </c>
      <c r="CI82" s="189">
        <v>796.86887252546137</v>
      </c>
      <c r="CJ82" s="189">
        <v>782.94316524253531</v>
      </c>
      <c r="CK82" s="189">
        <v>368</v>
      </c>
      <c r="CL82" s="189">
        <v>328</v>
      </c>
      <c r="CM82" s="189">
        <v>85.556998544829753</v>
      </c>
      <c r="CN82" s="189">
        <v>49.699094559156713</v>
      </c>
      <c r="CO82" s="189">
        <v>846</v>
      </c>
      <c r="CP82" s="189">
        <v>814</v>
      </c>
      <c r="CQ82" s="189">
        <v>348.75492828059078</v>
      </c>
      <c r="CR82" s="189">
        <v>241.30893062628246</v>
      </c>
      <c r="CS82" s="189">
        <v>11100</v>
      </c>
      <c r="CT82" s="189">
        <v>11440</v>
      </c>
      <c r="CU82" s="189">
        <v>1206.2338081814819</v>
      </c>
      <c r="CV82" s="189">
        <v>2058.6403279834972</v>
      </c>
      <c r="CW82" s="189">
        <v>5040</v>
      </c>
      <c r="CX82" s="189">
        <v>4600</v>
      </c>
      <c r="CY82" s="189">
        <v>320.93613071762422</v>
      </c>
      <c r="CZ82" s="189">
        <v>583.09518948453001</v>
      </c>
      <c r="DA82" s="190" t="s">
        <v>132</v>
      </c>
      <c r="DB82" s="190" t="s">
        <v>132</v>
      </c>
      <c r="DC82" s="190" t="s">
        <v>132</v>
      </c>
      <c r="DD82" s="190" t="s">
        <v>132</v>
      </c>
      <c r="DE82" s="190" t="s">
        <v>132</v>
      </c>
      <c r="DF82" s="190" t="s">
        <v>132</v>
      </c>
      <c r="DG82" s="190" t="s">
        <v>132</v>
      </c>
      <c r="DH82" s="190" t="s">
        <v>132</v>
      </c>
    </row>
    <row r="83" spans="1:112">
      <c r="A83" s="150" t="s">
        <v>147</v>
      </c>
      <c r="B83" s="150">
        <v>5</v>
      </c>
      <c r="C83" s="150">
        <v>5</v>
      </c>
      <c r="D83" s="150" t="s">
        <v>231</v>
      </c>
      <c r="E83" s="150" t="s">
        <v>231</v>
      </c>
      <c r="F83" s="150">
        <v>63</v>
      </c>
      <c r="G83" s="150" t="s">
        <v>234</v>
      </c>
      <c r="H83" s="150" t="s">
        <v>136</v>
      </c>
      <c r="I83" s="151" t="s">
        <v>240</v>
      </c>
      <c r="J83" s="151" t="s">
        <v>240</v>
      </c>
      <c r="K83" s="151" t="s">
        <v>241</v>
      </c>
      <c r="L83" s="150" t="s">
        <v>283</v>
      </c>
      <c r="M83" s="170">
        <v>0.6</v>
      </c>
      <c r="N83" s="171">
        <v>23.2</v>
      </c>
      <c r="O83" s="170">
        <v>0.89442719099991586</v>
      </c>
      <c r="P83" s="172">
        <v>7.155411064005178</v>
      </c>
      <c r="Q83" s="173">
        <v>3.0040000000000001E-2</v>
      </c>
      <c r="R83" s="173">
        <v>2.6360000000000005E-2</v>
      </c>
      <c r="S83" s="173">
        <v>5.1901830410882432E-3</v>
      </c>
      <c r="T83" s="173">
        <v>4.8070781146138716E-3</v>
      </c>
      <c r="U83" s="173">
        <v>2.5509333333333328E-2</v>
      </c>
      <c r="V83" s="173">
        <v>2.1083112645868061E-2</v>
      </c>
      <c r="W83" s="173">
        <v>4.2089444440778128E-3</v>
      </c>
      <c r="X83" s="173">
        <v>5.4777548753919651E-3</v>
      </c>
      <c r="Y83" s="171">
        <v>646</v>
      </c>
      <c r="Z83" s="171">
        <v>742</v>
      </c>
      <c r="AA83" s="171">
        <v>63.874877690685246</v>
      </c>
      <c r="AB83" s="171">
        <v>137.18600511714013</v>
      </c>
      <c r="AC83" s="171">
        <v>748</v>
      </c>
      <c r="AD83" s="171">
        <v>1196</v>
      </c>
      <c r="AE83" s="171">
        <v>113.44602240713422</v>
      </c>
      <c r="AF83" s="171">
        <v>142.23220451079285</v>
      </c>
      <c r="AG83" s="171">
        <v>4960</v>
      </c>
      <c r="AH83" s="171">
        <v>5640</v>
      </c>
      <c r="AI83" s="171">
        <v>450.55521304275237</v>
      </c>
      <c r="AJ83" s="171">
        <v>1003.9920318408906</v>
      </c>
      <c r="AK83" s="171">
        <v>7800</v>
      </c>
      <c r="AL83" s="171">
        <v>8180</v>
      </c>
      <c r="AM83" s="171">
        <v>880.34084308295041</v>
      </c>
      <c r="AN83" s="171">
        <v>1018.3319694480774</v>
      </c>
      <c r="AO83" s="151">
        <v>24000</v>
      </c>
      <c r="AP83" s="177">
        <v>21820</v>
      </c>
      <c r="AQ83" s="176">
        <v>4062.0192023179802</v>
      </c>
      <c r="AR83" s="176">
        <v>5921.3174209798954</v>
      </c>
      <c r="AS83" s="177">
        <v>30000</v>
      </c>
      <c r="AT83" s="177">
        <v>28200</v>
      </c>
      <c r="AU83" s="176">
        <v>4690.4157598234297</v>
      </c>
      <c r="AV83" s="176">
        <v>4494.4410108488464</v>
      </c>
      <c r="AW83" s="177">
        <v>21440</v>
      </c>
      <c r="AX83" s="177">
        <v>24480</v>
      </c>
      <c r="AY83" s="176">
        <v>2498.5996077803261</v>
      </c>
      <c r="AZ83" s="176">
        <v>4780.3765542057454</v>
      </c>
      <c r="BA83" s="177">
        <v>2740</v>
      </c>
      <c r="BB83" s="177">
        <v>2720</v>
      </c>
      <c r="BC83" s="176">
        <v>320.93613071762422</v>
      </c>
      <c r="BD83" s="176">
        <v>311.44823004794875</v>
      </c>
      <c r="BE83" s="167">
        <v>38.833855469581565</v>
      </c>
      <c r="BF83" s="167">
        <v>39.628155922109272</v>
      </c>
      <c r="BG83" s="183">
        <v>5.4778775493913452</v>
      </c>
      <c r="BH83" s="183">
        <v>6.3985879779534498</v>
      </c>
      <c r="BI83" s="167">
        <v>32.302232274986807</v>
      </c>
      <c r="BJ83" s="167">
        <v>37.01470858041732</v>
      </c>
      <c r="BK83" s="183">
        <v>4.9781986272711585</v>
      </c>
      <c r="BL83" s="183">
        <v>7.8019237724546491</v>
      </c>
      <c r="BM83" s="177">
        <v>826</v>
      </c>
      <c r="BN83" s="177">
        <v>874</v>
      </c>
      <c r="BO83" s="176">
        <v>65.421708935184498</v>
      </c>
      <c r="BP83" s="176">
        <v>125.81732790041282</v>
      </c>
      <c r="BQ83" s="176">
        <v>178.12182613442823</v>
      </c>
      <c r="BR83" s="176">
        <v>201.87309760869567</v>
      </c>
      <c r="BS83" s="176">
        <v>17.476489414740286</v>
      </c>
      <c r="BT83" s="176">
        <v>35.881073199861973</v>
      </c>
      <c r="BU83" s="177">
        <v>26200</v>
      </c>
      <c r="BV83" s="177">
        <v>24600</v>
      </c>
      <c r="BW83" s="176">
        <v>836.66002653407554</v>
      </c>
      <c r="BX83" s="176">
        <v>1140.175425099138</v>
      </c>
      <c r="BY83" s="177">
        <v>3740</v>
      </c>
      <c r="BZ83" s="177">
        <v>4080</v>
      </c>
      <c r="CA83" s="176">
        <v>661.81568431097185</v>
      </c>
      <c r="CB83" s="176">
        <v>887.13020464867498</v>
      </c>
      <c r="CC83" s="189">
        <v>5280</v>
      </c>
      <c r="CD83" s="189">
        <v>7880</v>
      </c>
      <c r="CE83" s="189">
        <v>1738.3900597967074</v>
      </c>
      <c r="CF83" s="189">
        <v>2183.3460559425753</v>
      </c>
      <c r="CG83" s="189">
        <v>10880</v>
      </c>
      <c r="CH83" s="189">
        <v>10220</v>
      </c>
      <c r="CI83" s="189">
        <v>912.14034007931036</v>
      </c>
      <c r="CJ83" s="189">
        <v>1070.9808588392232</v>
      </c>
      <c r="CK83" s="189">
        <v>374</v>
      </c>
      <c r="CL83" s="189">
        <v>388</v>
      </c>
      <c r="CM83" s="189">
        <v>85.029406677925252</v>
      </c>
      <c r="CN83" s="189">
        <v>49.193495504995376</v>
      </c>
      <c r="CO83" s="189">
        <v>1076</v>
      </c>
      <c r="CP83" s="189">
        <v>1678</v>
      </c>
      <c r="CQ83" s="189">
        <v>212.67345861672538</v>
      </c>
      <c r="CR83" s="189">
        <v>570.41213170829383</v>
      </c>
      <c r="CS83" s="189">
        <v>11460</v>
      </c>
      <c r="CT83" s="189">
        <v>13120</v>
      </c>
      <c r="CU83" s="189">
        <v>456.07017003965518</v>
      </c>
      <c r="CV83" s="189">
        <v>1329.2855223765887</v>
      </c>
      <c r="CW83" s="189">
        <v>5180</v>
      </c>
      <c r="CX83" s="189">
        <v>5480</v>
      </c>
      <c r="CY83" s="189">
        <v>238.74672772626644</v>
      </c>
      <c r="CZ83" s="189">
        <v>576.19441163551733</v>
      </c>
      <c r="DA83" s="190" t="s">
        <v>132</v>
      </c>
      <c r="DB83" s="190" t="s">
        <v>132</v>
      </c>
      <c r="DC83" s="190" t="s">
        <v>132</v>
      </c>
      <c r="DD83" s="190" t="s">
        <v>132</v>
      </c>
      <c r="DE83" s="190" t="s">
        <v>132</v>
      </c>
      <c r="DF83" s="190" t="s">
        <v>132</v>
      </c>
      <c r="DG83" s="190" t="s">
        <v>132</v>
      </c>
      <c r="DH83" s="190" t="s">
        <v>132</v>
      </c>
    </row>
    <row r="84" spans="1:112">
      <c r="A84" s="150" t="s">
        <v>147</v>
      </c>
      <c r="B84" s="150">
        <v>5</v>
      </c>
      <c r="C84" s="150">
        <v>5</v>
      </c>
      <c r="D84" s="150" t="s">
        <v>231</v>
      </c>
      <c r="E84" s="150" t="s">
        <v>231</v>
      </c>
      <c r="F84" s="150">
        <v>63</v>
      </c>
      <c r="G84" s="150" t="s">
        <v>234</v>
      </c>
      <c r="H84" s="150" t="s">
        <v>136</v>
      </c>
      <c r="I84" s="151" t="s">
        <v>239</v>
      </c>
      <c r="J84" s="151" t="s">
        <v>240</v>
      </c>
      <c r="K84" s="150" t="s">
        <v>240</v>
      </c>
      <c r="L84" s="150" t="s">
        <v>283</v>
      </c>
      <c r="M84" s="170">
        <v>1</v>
      </c>
      <c r="N84" s="171">
        <v>23.6</v>
      </c>
      <c r="O84" s="170">
        <v>0.70710678118654757</v>
      </c>
      <c r="P84" s="172">
        <v>4.3931725586310382</v>
      </c>
      <c r="Q84" s="173">
        <v>1.18228</v>
      </c>
      <c r="R84" s="173">
        <v>1.32836</v>
      </c>
      <c r="S84" s="173">
        <v>0.1659686928309077</v>
      </c>
      <c r="T84" s="173">
        <v>0.19049660889370207</v>
      </c>
      <c r="U84" s="173">
        <v>0.66281088806086075</v>
      </c>
      <c r="V84" s="173">
        <v>0.64755009312987666</v>
      </c>
      <c r="W84" s="173">
        <v>9.1074929753859918E-2</v>
      </c>
      <c r="X84" s="173">
        <v>0.11684829293279052</v>
      </c>
      <c r="Y84" s="171">
        <v>1090</v>
      </c>
      <c r="Z84" s="171">
        <v>1100</v>
      </c>
      <c r="AA84" s="171">
        <v>196.34153916071861</v>
      </c>
      <c r="AB84" s="171">
        <v>108.39741694339399</v>
      </c>
      <c r="AC84" s="171">
        <v>1096</v>
      </c>
      <c r="AD84" s="171">
        <v>1160</v>
      </c>
      <c r="AE84" s="171">
        <v>114.80418110852932</v>
      </c>
      <c r="AF84" s="171">
        <v>48.47679857416329</v>
      </c>
      <c r="AG84" s="171">
        <v>40.728454919912068</v>
      </c>
      <c r="AH84" s="171">
        <v>35.060501887354569</v>
      </c>
      <c r="AI84" s="171">
        <v>5.1568333898407834</v>
      </c>
      <c r="AJ84" s="171">
        <v>3.0156506890976176</v>
      </c>
      <c r="AK84" s="171">
        <v>52.620839879750726</v>
      </c>
      <c r="AL84" s="171">
        <v>36.73035982430136</v>
      </c>
      <c r="AM84" s="171">
        <v>7.6212084113144885</v>
      </c>
      <c r="AN84" s="171">
        <v>5.2004742586794972</v>
      </c>
      <c r="AO84" s="177">
        <v>37600</v>
      </c>
      <c r="AP84" s="177">
        <v>34600</v>
      </c>
      <c r="AQ84" s="176">
        <v>2966.4793948382653</v>
      </c>
      <c r="AR84" s="176">
        <v>2880.9720581775869</v>
      </c>
      <c r="AS84" s="177">
        <v>28400</v>
      </c>
      <c r="AT84" s="177">
        <v>28400</v>
      </c>
      <c r="AU84" s="176">
        <v>1516.57508881031</v>
      </c>
      <c r="AV84" s="176">
        <v>2509.9800796022269</v>
      </c>
      <c r="AW84" s="177">
        <v>11920</v>
      </c>
      <c r="AX84" s="177">
        <v>10860</v>
      </c>
      <c r="AY84" s="176">
        <v>1684.3396332094071</v>
      </c>
      <c r="AZ84" s="176">
        <v>1112.65448365609</v>
      </c>
      <c r="BA84" s="177">
        <v>3100</v>
      </c>
      <c r="BB84" s="177">
        <v>2400</v>
      </c>
      <c r="BC84" s="176">
        <v>360.55512754639892</v>
      </c>
      <c r="BD84" s="176">
        <v>158.11388300841898</v>
      </c>
      <c r="BE84" s="167">
        <v>7.5982615474181117</v>
      </c>
      <c r="BF84" s="167">
        <v>8.2628574616404045</v>
      </c>
      <c r="BG84" s="183">
        <v>1.0308931405562316</v>
      </c>
      <c r="BH84" s="183">
        <v>1.0412788409927249</v>
      </c>
      <c r="BI84" s="167">
        <v>27.243344466928711</v>
      </c>
      <c r="BJ84" s="167">
        <v>22.572075100664591</v>
      </c>
      <c r="BK84" s="183">
        <v>6.6037926241836686</v>
      </c>
      <c r="BL84" s="183">
        <v>6.8426597492099219</v>
      </c>
      <c r="BM84" s="177">
        <v>278</v>
      </c>
      <c r="BN84" s="177">
        <v>280</v>
      </c>
      <c r="BO84" s="176">
        <v>37.682887362833547</v>
      </c>
      <c r="BP84" s="176">
        <v>20</v>
      </c>
      <c r="BQ84" s="176">
        <v>154.12053959729474</v>
      </c>
      <c r="BR84" s="176">
        <v>835.42752148806142</v>
      </c>
      <c r="BS84" s="176">
        <v>17.95803771108022</v>
      </c>
      <c r="BT84" s="176">
        <v>1335.3677304010282</v>
      </c>
      <c r="BU84" s="177">
        <v>8520</v>
      </c>
      <c r="BV84" s="177">
        <v>7740</v>
      </c>
      <c r="BW84" s="176">
        <v>1334.9157276772194</v>
      </c>
      <c r="BX84" s="176">
        <v>820.36577207974733</v>
      </c>
      <c r="BY84" s="177">
        <v>3180</v>
      </c>
      <c r="BZ84" s="177">
        <v>3040</v>
      </c>
      <c r="CA84" s="176">
        <v>178.88543819998318</v>
      </c>
      <c r="CB84" s="176">
        <v>230.21728866442677</v>
      </c>
      <c r="CC84" s="189">
        <v>886</v>
      </c>
      <c r="CD84" s="189">
        <v>828</v>
      </c>
      <c r="CE84" s="189">
        <v>109.90905331227269</v>
      </c>
      <c r="CF84" s="189">
        <v>122.75992831539125</v>
      </c>
      <c r="CG84" s="189">
        <v>6460</v>
      </c>
      <c r="CH84" s="189">
        <v>5680</v>
      </c>
      <c r="CI84" s="189">
        <v>585.66201857385283</v>
      </c>
      <c r="CJ84" s="189">
        <v>544.97706373754852</v>
      </c>
      <c r="CK84" s="189">
        <v>118.9544542143171</v>
      </c>
      <c r="CL84" s="189">
        <v>103.01457678858465</v>
      </c>
      <c r="CM84" s="189">
        <v>42.390062430482445</v>
      </c>
      <c r="CN84" s="189">
        <v>14.902574214379559</v>
      </c>
      <c r="CO84" s="189">
        <v>2962</v>
      </c>
      <c r="CP84" s="189">
        <v>4512</v>
      </c>
      <c r="CQ84" s="189">
        <v>1283.8691522113927</v>
      </c>
      <c r="CR84" s="189">
        <v>4175.8496141503947</v>
      </c>
      <c r="CS84" s="189">
        <v>6340</v>
      </c>
      <c r="CT84" s="189">
        <v>5260</v>
      </c>
      <c r="CU84" s="189">
        <v>950.26312145636803</v>
      </c>
      <c r="CV84" s="189">
        <v>378.15340802378074</v>
      </c>
      <c r="CW84" s="189">
        <v>2900</v>
      </c>
      <c r="CX84" s="189">
        <v>2640</v>
      </c>
      <c r="CY84" s="189">
        <v>244.94897427831782</v>
      </c>
      <c r="CZ84" s="189">
        <v>194.93588689617928</v>
      </c>
      <c r="DA84" s="190" t="s">
        <v>132</v>
      </c>
      <c r="DB84" s="190" t="s">
        <v>132</v>
      </c>
      <c r="DC84" s="190" t="s">
        <v>132</v>
      </c>
      <c r="DD84" s="190" t="s">
        <v>132</v>
      </c>
      <c r="DE84" s="190" t="s">
        <v>132</v>
      </c>
      <c r="DF84" s="190" t="s">
        <v>132</v>
      </c>
      <c r="DG84" s="190" t="s">
        <v>132</v>
      </c>
      <c r="DH84" s="190" t="s">
        <v>132</v>
      </c>
    </row>
    <row r="85" spans="1:112">
      <c r="A85" s="150" t="s">
        <v>147</v>
      </c>
      <c r="B85" s="150">
        <v>5</v>
      </c>
      <c r="C85" s="150">
        <v>5</v>
      </c>
      <c r="D85" s="150" t="s">
        <v>231</v>
      </c>
      <c r="E85" s="150" t="s">
        <v>231</v>
      </c>
      <c r="F85" s="150">
        <v>63</v>
      </c>
      <c r="G85" s="150" t="s">
        <v>234</v>
      </c>
      <c r="H85" s="150" t="s">
        <v>136</v>
      </c>
      <c r="I85" s="151" t="s">
        <v>239</v>
      </c>
      <c r="J85" s="151" t="s">
        <v>240</v>
      </c>
      <c r="K85" s="151" t="s">
        <v>241</v>
      </c>
      <c r="L85" s="150" t="s">
        <v>283</v>
      </c>
      <c r="M85" s="170">
        <v>0.8</v>
      </c>
      <c r="N85" s="171">
        <v>25.6</v>
      </c>
      <c r="O85" s="170">
        <v>0.83666002653407556</v>
      </c>
      <c r="P85" s="172">
        <v>3.6469132112447689</v>
      </c>
      <c r="Q85" s="173">
        <v>0.98292000000000002</v>
      </c>
      <c r="R85" s="173">
        <v>1.2532799999999997</v>
      </c>
      <c r="S85" s="173">
        <v>0.4089111541643245</v>
      </c>
      <c r="T85" s="173">
        <v>0.18532010684218927</v>
      </c>
      <c r="U85" s="173">
        <v>0.48786478260687482</v>
      </c>
      <c r="V85" s="173">
        <v>0.58008736095515412</v>
      </c>
      <c r="W85" s="173">
        <v>0.19077604519391084</v>
      </c>
      <c r="X85" s="173">
        <v>4.182658162274288E-2</v>
      </c>
      <c r="Y85" s="171">
        <v>1024</v>
      </c>
      <c r="Z85" s="171">
        <v>956</v>
      </c>
      <c r="AA85" s="171">
        <v>77.006493232713822</v>
      </c>
      <c r="AB85" s="171">
        <v>54.12947441089743</v>
      </c>
      <c r="AC85" s="171">
        <v>1142</v>
      </c>
      <c r="AD85" s="171">
        <v>1058</v>
      </c>
      <c r="AE85" s="171">
        <v>132.92855223765886</v>
      </c>
      <c r="AF85" s="171">
        <v>76.615925237511817</v>
      </c>
      <c r="AG85" s="171">
        <v>478</v>
      </c>
      <c r="AH85" s="171">
        <v>346</v>
      </c>
      <c r="AI85" s="171">
        <v>158.01898620102585</v>
      </c>
      <c r="AJ85" s="171">
        <v>24.083189157584592</v>
      </c>
      <c r="AK85" s="171">
        <v>1176</v>
      </c>
      <c r="AL85" s="171">
        <v>860</v>
      </c>
      <c r="AM85" s="171">
        <v>295.6856438855292</v>
      </c>
      <c r="AN85" s="171">
        <v>129.80754985747168</v>
      </c>
      <c r="AO85" s="177">
        <v>37800</v>
      </c>
      <c r="AP85" s="177">
        <v>34600</v>
      </c>
      <c r="AQ85" s="176">
        <v>836.66002653407554</v>
      </c>
      <c r="AR85" s="176">
        <v>2509.9800796022269</v>
      </c>
      <c r="AS85" s="177">
        <v>30000</v>
      </c>
      <c r="AT85" s="177">
        <v>27600</v>
      </c>
      <c r="AU85" s="176">
        <v>1000</v>
      </c>
      <c r="AV85" s="176">
        <v>1341.6407864998739</v>
      </c>
      <c r="AW85" s="177">
        <v>13300</v>
      </c>
      <c r="AX85" s="177">
        <v>11440</v>
      </c>
      <c r="AY85" s="176">
        <v>3876.2094886628611</v>
      </c>
      <c r="AZ85" s="176">
        <v>2218.7834504520715</v>
      </c>
      <c r="BA85" s="177">
        <v>2540</v>
      </c>
      <c r="BB85" s="177">
        <v>2300</v>
      </c>
      <c r="BC85" s="176">
        <v>89.442719099991592</v>
      </c>
      <c r="BD85" s="176">
        <v>122.47448713915891</v>
      </c>
      <c r="BE85" s="167">
        <v>12.977879135523665</v>
      </c>
      <c r="BF85" s="167">
        <v>11.34723324824623</v>
      </c>
      <c r="BG85" s="183">
        <v>3.7450326498835058</v>
      </c>
      <c r="BH85" s="183">
        <v>0.81085727964417531</v>
      </c>
      <c r="BI85" s="167">
        <v>22.807962125996379</v>
      </c>
      <c r="BJ85" s="167">
        <v>16.743003385932841</v>
      </c>
      <c r="BK85" s="183">
        <v>4.754905576988401</v>
      </c>
      <c r="BL85" s="183">
        <v>2.6245935487755969</v>
      </c>
      <c r="BM85" s="177">
        <v>308</v>
      </c>
      <c r="BN85" s="177">
        <v>298</v>
      </c>
      <c r="BO85" s="176">
        <v>137.9130160644745</v>
      </c>
      <c r="BP85" s="176">
        <v>75.630681604756148</v>
      </c>
      <c r="BQ85" s="176">
        <v>122.57710882027781</v>
      </c>
      <c r="BR85" s="176">
        <v>114.77782848256257</v>
      </c>
      <c r="BS85" s="176">
        <v>24.124066692540232</v>
      </c>
      <c r="BT85" s="176">
        <v>19.946791460319353</v>
      </c>
      <c r="BU85" s="177">
        <v>9720</v>
      </c>
      <c r="BV85" s="177">
        <v>8260</v>
      </c>
      <c r="BW85" s="176">
        <v>4390.5580510910004</v>
      </c>
      <c r="BX85" s="176">
        <v>2059.854363784003</v>
      </c>
      <c r="BY85" s="177">
        <v>3700</v>
      </c>
      <c r="BZ85" s="177">
        <v>3260</v>
      </c>
      <c r="CA85" s="176">
        <v>291.54759474226501</v>
      </c>
      <c r="CB85" s="176">
        <v>487.85243670601869</v>
      </c>
      <c r="CC85" s="189">
        <v>1054</v>
      </c>
      <c r="CD85" s="189">
        <v>882</v>
      </c>
      <c r="CE85" s="189">
        <v>336.71946780665951</v>
      </c>
      <c r="CF85" s="189">
        <v>126.76750372236569</v>
      </c>
      <c r="CG85" s="189">
        <v>6220</v>
      </c>
      <c r="CH85" s="189">
        <v>5300</v>
      </c>
      <c r="CI85" s="189">
        <v>653.45237010818164</v>
      </c>
      <c r="CJ85" s="189">
        <v>927.36184954957037</v>
      </c>
      <c r="CK85" s="189">
        <v>188.65776951706133</v>
      </c>
      <c r="CL85" s="189">
        <v>131.86771358263056</v>
      </c>
      <c r="CM85" s="189">
        <v>77.419758740799594</v>
      </c>
      <c r="CN85" s="189">
        <v>39.089459349366443</v>
      </c>
      <c r="CO85" s="189">
        <v>1624</v>
      </c>
      <c r="CP85" s="189">
        <v>1538</v>
      </c>
      <c r="CQ85" s="189">
        <v>1503.8882937239721</v>
      </c>
      <c r="CR85" s="189">
        <v>801.69819757811604</v>
      </c>
      <c r="CS85" s="189">
        <v>6900</v>
      </c>
      <c r="CT85" s="189">
        <v>5920</v>
      </c>
      <c r="CU85" s="189">
        <v>624.49979983983985</v>
      </c>
      <c r="CV85" s="189">
        <v>756.30681604756148</v>
      </c>
      <c r="CW85" s="189">
        <v>3060</v>
      </c>
      <c r="CX85" s="189">
        <v>2860</v>
      </c>
      <c r="CY85" s="189">
        <v>89.442719099991592</v>
      </c>
      <c r="CZ85" s="189">
        <v>391.1521443121589</v>
      </c>
      <c r="DA85" s="190" t="s">
        <v>132</v>
      </c>
      <c r="DB85" s="190" t="s">
        <v>132</v>
      </c>
      <c r="DC85" s="190" t="s">
        <v>132</v>
      </c>
      <c r="DD85" s="190" t="s">
        <v>132</v>
      </c>
      <c r="DE85" s="190" t="s">
        <v>132</v>
      </c>
      <c r="DF85" s="190" t="s">
        <v>132</v>
      </c>
      <c r="DG85" s="190" t="s">
        <v>132</v>
      </c>
      <c r="DH85" s="190" t="s">
        <v>132</v>
      </c>
    </row>
    <row r="86" spans="1:112">
      <c r="A86" s="150" t="s">
        <v>147</v>
      </c>
      <c r="B86" s="150">
        <v>5</v>
      </c>
      <c r="C86" s="150">
        <v>5</v>
      </c>
      <c r="D86" s="150" t="s">
        <v>231</v>
      </c>
      <c r="E86" s="150" t="s">
        <v>231</v>
      </c>
      <c r="F86" s="150">
        <v>63</v>
      </c>
      <c r="G86" s="150" t="s">
        <v>234</v>
      </c>
      <c r="H86" s="150" t="s">
        <v>136</v>
      </c>
      <c r="I86" s="151" t="s">
        <v>239</v>
      </c>
      <c r="J86" s="151" t="s">
        <v>240</v>
      </c>
      <c r="K86" s="151" t="s">
        <v>241</v>
      </c>
      <c r="L86" s="150" t="s">
        <v>283</v>
      </c>
      <c r="M86" s="170">
        <v>0.8</v>
      </c>
      <c r="N86" s="171">
        <v>15.8</v>
      </c>
      <c r="O86" s="170">
        <v>0.83666002653407556</v>
      </c>
      <c r="P86" s="172">
        <v>1.6431661881260535</v>
      </c>
      <c r="Q86" s="173">
        <v>1.00508</v>
      </c>
      <c r="R86" s="173">
        <v>1.10128</v>
      </c>
      <c r="S86" s="173">
        <v>0.21414810762647371</v>
      </c>
      <c r="T86" s="173">
        <v>0.11444289842537153</v>
      </c>
      <c r="U86" s="173">
        <v>0.55699433435353052</v>
      </c>
      <c r="V86" s="173">
        <v>0.60757011159257812</v>
      </c>
      <c r="W86" s="173">
        <v>5.3504062850825186E-2</v>
      </c>
      <c r="X86" s="173">
        <v>7.3706841436394235E-2</v>
      </c>
      <c r="Y86" s="171">
        <v>998</v>
      </c>
      <c r="Z86" s="171">
        <v>1096</v>
      </c>
      <c r="AA86" s="171">
        <v>111.66915420114903</v>
      </c>
      <c r="AB86" s="171">
        <v>63.482280992415511</v>
      </c>
      <c r="AC86" s="171">
        <v>1058</v>
      </c>
      <c r="AD86" s="171">
        <v>1270</v>
      </c>
      <c r="AE86" s="171">
        <v>122.14745187681976</v>
      </c>
      <c r="AF86" s="171">
        <v>92.466210044534648</v>
      </c>
      <c r="AG86" s="171">
        <v>926</v>
      </c>
      <c r="AH86" s="171">
        <v>812</v>
      </c>
      <c r="AI86" s="171">
        <v>80.808415403347695</v>
      </c>
      <c r="AJ86" s="171">
        <v>117.77096416349829</v>
      </c>
      <c r="AK86" s="171">
        <v>2116</v>
      </c>
      <c r="AL86" s="171">
        <v>2218</v>
      </c>
      <c r="AM86" s="171">
        <v>155.82040944625965</v>
      </c>
      <c r="AN86" s="171">
        <v>167.69019053003666</v>
      </c>
      <c r="AO86" s="177">
        <v>42200</v>
      </c>
      <c r="AP86" s="177">
        <v>40600</v>
      </c>
      <c r="AQ86" s="176">
        <v>3114.4823004794875</v>
      </c>
      <c r="AR86" s="176">
        <v>3646.9165057620939</v>
      </c>
      <c r="AS86" s="177">
        <v>30800</v>
      </c>
      <c r="AT86" s="177">
        <v>30000</v>
      </c>
      <c r="AU86" s="176">
        <v>2387.4672772626645</v>
      </c>
      <c r="AV86" s="176">
        <v>1581.1388300841897</v>
      </c>
      <c r="AW86" s="177">
        <v>12440</v>
      </c>
      <c r="AX86" s="177">
        <v>11120</v>
      </c>
      <c r="AY86" s="176">
        <v>1600.9372255026117</v>
      </c>
      <c r="AZ86" s="176">
        <v>819.75606127676792</v>
      </c>
      <c r="BA86" s="177">
        <v>2540</v>
      </c>
      <c r="BB86" s="177">
        <v>2440</v>
      </c>
      <c r="BC86" s="176">
        <v>134.16407864998737</v>
      </c>
      <c r="BD86" s="176">
        <v>151.65750888103102</v>
      </c>
      <c r="BE86" s="167">
        <v>13.563849916731897</v>
      </c>
      <c r="BF86" s="167">
        <v>14.765563417255882</v>
      </c>
      <c r="BG86" s="183">
        <v>0.37047683117250452</v>
      </c>
      <c r="BH86" s="183">
        <v>1.10080939150235</v>
      </c>
      <c r="BI86" s="167">
        <v>22.974834855939463</v>
      </c>
      <c r="BJ86" s="167">
        <v>20.364009128817223</v>
      </c>
      <c r="BK86" s="183">
        <v>2.4769566087666828</v>
      </c>
      <c r="BL86" s="183">
        <v>1.9287443885792905</v>
      </c>
      <c r="BM86" s="177">
        <v>286</v>
      </c>
      <c r="BN86" s="177">
        <v>230</v>
      </c>
      <c r="BO86" s="176">
        <v>48.270073544588683</v>
      </c>
      <c r="BP86" s="176">
        <v>30</v>
      </c>
      <c r="BQ86" s="176">
        <v>119.31030900417859</v>
      </c>
      <c r="BR86" s="176">
        <v>109.15666348380894</v>
      </c>
      <c r="BS86" s="176">
        <v>22.665793719520135</v>
      </c>
      <c r="BT86" s="176">
        <v>5.9602156802063071</v>
      </c>
      <c r="BU86" s="177">
        <v>9220</v>
      </c>
      <c r="BV86" s="177">
        <v>7140</v>
      </c>
      <c r="BW86" s="176">
        <v>1672.4233913695418</v>
      </c>
      <c r="BX86" s="176">
        <v>536.6563145999495</v>
      </c>
      <c r="BY86" s="177">
        <v>4120</v>
      </c>
      <c r="BZ86" s="177">
        <v>3520</v>
      </c>
      <c r="CA86" s="176">
        <v>420.71367935925258</v>
      </c>
      <c r="CB86" s="176">
        <v>319.37438845342626</v>
      </c>
      <c r="CC86" s="189">
        <v>1036</v>
      </c>
      <c r="CD86" s="189">
        <v>1096</v>
      </c>
      <c r="CE86" s="189">
        <v>117.17508267545622</v>
      </c>
      <c r="CF86" s="189">
        <v>141.52738250953416</v>
      </c>
      <c r="CG86" s="189">
        <v>5980</v>
      </c>
      <c r="CH86" s="189">
        <v>5400</v>
      </c>
      <c r="CI86" s="189">
        <v>657.26706900619934</v>
      </c>
      <c r="CJ86" s="189">
        <v>418.33001326703777</v>
      </c>
      <c r="CK86" s="189">
        <v>133.1708883858411</v>
      </c>
      <c r="CL86" s="189">
        <v>113.323241102054</v>
      </c>
      <c r="CM86" s="189">
        <v>47.670754375931644</v>
      </c>
      <c r="CN86" s="189">
        <v>18.0489769570795</v>
      </c>
      <c r="CO86" s="189">
        <v>1950</v>
      </c>
      <c r="CP86" s="189">
        <v>1978</v>
      </c>
      <c r="CQ86" s="189">
        <v>909.45038347344712</v>
      </c>
      <c r="CR86" s="189">
        <v>480.48933390867273</v>
      </c>
      <c r="CS86" s="189">
        <v>7640</v>
      </c>
      <c r="CT86" s="189">
        <v>7160</v>
      </c>
      <c r="CU86" s="189">
        <v>723.18738927058178</v>
      </c>
      <c r="CV86" s="189">
        <v>684.10525505948283</v>
      </c>
      <c r="CW86" s="189">
        <v>3260</v>
      </c>
      <c r="CX86" s="189">
        <v>3320</v>
      </c>
      <c r="CY86" s="189">
        <v>54.772255750516614</v>
      </c>
      <c r="CZ86" s="189">
        <v>248.99799195977465</v>
      </c>
      <c r="DA86" s="190" t="s">
        <v>132</v>
      </c>
      <c r="DB86" s="190" t="s">
        <v>132</v>
      </c>
      <c r="DC86" s="190" t="s">
        <v>132</v>
      </c>
      <c r="DD86" s="190" t="s">
        <v>132</v>
      </c>
      <c r="DE86" s="190" t="s">
        <v>132</v>
      </c>
      <c r="DF86" s="190" t="s">
        <v>132</v>
      </c>
      <c r="DG86" s="190" t="s">
        <v>132</v>
      </c>
      <c r="DH86" s="190" t="s">
        <v>132</v>
      </c>
    </row>
    <row r="87" spans="1:112">
      <c r="A87" s="150" t="s">
        <v>147</v>
      </c>
      <c r="B87" s="150">
        <v>5</v>
      </c>
      <c r="C87" s="150">
        <v>5</v>
      </c>
      <c r="D87" s="150" t="s">
        <v>231</v>
      </c>
      <c r="E87" s="150" t="s">
        <v>231</v>
      </c>
      <c r="F87" s="150">
        <v>63</v>
      </c>
      <c r="G87" s="150" t="s">
        <v>234</v>
      </c>
      <c r="H87" s="150" t="s">
        <v>136</v>
      </c>
      <c r="I87" s="151" t="s">
        <v>239</v>
      </c>
      <c r="J87" s="151" t="s">
        <v>240</v>
      </c>
      <c r="K87" s="151" t="s">
        <v>241</v>
      </c>
      <c r="L87" s="150" t="s">
        <v>283</v>
      </c>
      <c r="M87" s="170">
        <v>0.8</v>
      </c>
      <c r="N87" s="171">
        <v>10.4</v>
      </c>
      <c r="O87" s="170">
        <v>1.3038404810405297</v>
      </c>
      <c r="P87" s="172">
        <v>2.7018487764481827</v>
      </c>
      <c r="Q87" s="173">
        <v>0.92525999999999997</v>
      </c>
      <c r="R87" s="173">
        <v>0.96120000000000005</v>
      </c>
      <c r="S87" s="173">
        <v>5.6962250657784472E-2</v>
      </c>
      <c r="T87" s="173">
        <v>7.6422935039161546E-2</v>
      </c>
      <c r="U87" s="173">
        <v>0.48285779583968197</v>
      </c>
      <c r="V87" s="173">
        <v>0.55623667463310333</v>
      </c>
      <c r="W87" s="173">
        <v>6.8874000930096851E-2</v>
      </c>
      <c r="X87" s="173">
        <v>9.8493430900010059E-2</v>
      </c>
      <c r="Y87" s="171">
        <v>1098</v>
      </c>
      <c r="Z87" s="171">
        <v>1006</v>
      </c>
      <c r="AA87" s="171">
        <v>120.29131306956458</v>
      </c>
      <c r="AB87" s="171">
        <v>62.289646009589745</v>
      </c>
      <c r="AC87" s="171">
        <v>1238</v>
      </c>
      <c r="AD87" s="171">
        <v>1206</v>
      </c>
      <c r="AE87" s="171">
        <v>126.37246535539299</v>
      </c>
      <c r="AF87" s="171">
        <v>103.3440854621105</v>
      </c>
      <c r="AG87" s="171">
        <v>1488</v>
      </c>
      <c r="AH87" s="171">
        <v>1360</v>
      </c>
      <c r="AI87" s="171">
        <v>105.45141061171255</v>
      </c>
      <c r="AJ87" s="171">
        <v>184.79718612576329</v>
      </c>
      <c r="AK87" s="171">
        <v>3440</v>
      </c>
      <c r="AL87" s="171">
        <v>3240</v>
      </c>
      <c r="AM87" s="171">
        <v>194.93588689617928</v>
      </c>
      <c r="AN87" s="171">
        <v>336.15472627943223</v>
      </c>
      <c r="AO87" s="177">
        <v>46600</v>
      </c>
      <c r="AP87" s="177">
        <v>38800</v>
      </c>
      <c r="AQ87" s="176">
        <v>5412.9474410897437</v>
      </c>
      <c r="AR87" s="176">
        <v>1483.2396974191327</v>
      </c>
      <c r="AS87" s="177">
        <v>31800</v>
      </c>
      <c r="AT87" s="177">
        <v>30000</v>
      </c>
      <c r="AU87" s="176">
        <v>2683.2815729997478</v>
      </c>
      <c r="AV87" s="176">
        <v>1732.0508075688772</v>
      </c>
      <c r="AW87" s="177">
        <v>12060</v>
      </c>
      <c r="AX87" s="177">
        <v>12160</v>
      </c>
      <c r="AY87" s="176">
        <v>1123.8327277669039</v>
      </c>
      <c r="AZ87" s="176">
        <v>1624.1921068642096</v>
      </c>
      <c r="BA87" s="177">
        <v>2740</v>
      </c>
      <c r="BB87" s="177">
        <v>2380</v>
      </c>
      <c r="BC87" s="176">
        <v>114.0175425099138</v>
      </c>
      <c r="BD87" s="176">
        <v>164.31676725154983</v>
      </c>
      <c r="BE87" s="167">
        <v>16.713406550048411</v>
      </c>
      <c r="BF87" s="167">
        <v>16.93646794626186</v>
      </c>
      <c r="BG87" s="183">
        <v>1.3329337427654331</v>
      </c>
      <c r="BH87" s="183">
        <v>2.7990470636332772</v>
      </c>
      <c r="BI87" s="167">
        <v>20.457126973182621</v>
      </c>
      <c r="BJ87" s="167">
        <v>20.184282150455854</v>
      </c>
      <c r="BK87" s="183">
        <v>4.1073508032720421</v>
      </c>
      <c r="BL87" s="183">
        <v>4.5068193163110593</v>
      </c>
      <c r="BM87" s="177">
        <v>276</v>
      </c>
      <c r="BN87" s="177">
        <v>240</v>
      </c>
      <c r="BO87" s="176">
        <v>59.413803110051795</v>
      </c>
      <c r="BP87" s="176">
        <v>40.620192023179804</v>
      </c>
      <c r="BQ87" s="176">
        <v>122.26622873139706</v>
      </c>
      <c r="BR87" s="176">
        <v>105.26190037176454</v>
      </c>
      <c r="BS87" s="176">
        <v>20.60371720630831</v>
      </c>
      <c r="BT87" s="176">
        <v>14.57162361147307</v>
      </c>
      <c r="BU87" s="177">
        <v>8100</v>
      </c>
      <c r="BV87" s="177">
        <v>7840</v>
      </c>
      <c r="BW87" s="176">
        <v>674.53687816160209</v>
      </c>
      <c r="BX87" s="176">
        <v>884.87287222515749</v>
      </c>
      <c r="BY87" s="177">
        <v>4260</v>
      </c>
      <c r="BZ87" s="177">
        <v>3920</v>
      </c>
      <c r="CA87" s="176">
        <v>304.95901363953811</v>
      </c>
      <c r="CB87" s="176">
        <v>294.95762407505254</v>
      </c>
      <c r="CC87" s="189">
        <v>1224</v>
      </c>
      <c r="CD87" s="189">
        <v>1158</v>
      </c>
      <c r="CE87" s="189">
        <v>182.0164827701052</v>
      </c>
      <c r="CF87" s="189">
        <v>189.12958520548815</v>
      </c>
      <c r="CG87" s="189">
        <v>5980</v>
      </c>
      <c r="CH87" s="189">
        <v>5280</v>
      </c>
      <c r="CI87" s="189">
        <v>432.43496620879307</v>
      </c>
      <c r="CJ87" s="189">
        <v>715.54175279993274</v>
      </c>
      <c r="CK87" s="189">
        <v>126.80669538094017</v>
      </c>
      <c r="CL87" s="189">
        <v>152.07837032906727</v>
      </c>
      <c r="CM87" s="189">
        <v>6.1150987832839245</v>
      </c>
      <c r="CN87" s="189">
        <v>57.019897072627479</v>
      </c>
      <c r="CO87" s="189">
        <v>1212</v>
      </c>
      <c r="CP87" s="189">
        <v>2168</v>
      </c>
      <c r="CQ87" s="189">
        <v>561.40003562522156</v>
      </c>
      <c r="CR87" s="189">
        <v>1421.5906583823628</v>
      </c>
      <c r="CS87" s="189">
        <v>8020</v>
      </c>
      <c r="CT87" s="189">
        <v>7640</v>
      </c>
      <c r="CU87" s="189">
        <v>973.13925005622912</v>
      </c>
      <c r="CV87" s="189">
        <v>1240.1612798341996</v>
      </c>
      <c r="CW87" s="189">
        <v>3860</v>
      </c>
      <c r="CX87" s="189">
        <v>3480</v>
      </c>
      <c r="CY87" s="189">
        <v>304.95901363953811</v>
      </c>
      <c r="CZ87" s="189">
        <v>238.74672772626644</v>
      </c>
      <c r="DA87" s="190" t="s">
        <v>132</v>
      </c>
      <c r="DB87" s="190" t="s">
        <v>132</v>
      </c>
      <c r="DC87" s="190" t="s">
        <v>132</v>
      </c>
      <c r="DD87" s="190" t="s">
        <v>132</v>
      </c>
      <c r="DE87" s="190" t="s">
        <v>132</v>
      </c>
      <c r="DF87" s="190" t="s">
        <v>132</v>
      </c>
      <c r="DG87" s="190" t="s">
        <v>132</v>
      </c>
      <c r="DH87" s="190" t="s">
        <v>132</v>
      </c>
    </row>
    <row r="88" spans="1:112">
      <c r="A88" s="150" t="s">
        <v>147</v>
      </c>
      <c r="B88" s="150">
        <v>5</v>
      </c>
      <c r="C88" s="150">
        <v>5</v>
      </c>
      <c r="D88" s="150" t="s">
        <v>231</v>
      </c>
      <c r="E88" s="150" t="s">
        <v>231</v>
      </c>
      <c r="F88" s="150">
        <v>63</v>
      </c>
      <c r="G88" s="150" t="s">
        <v>234</v>
      </c>
      <c r="H88" s="150" t="s">
        <v>136</v>
      </c>
      <c r="I88" s="151" t="s">
        <v>239</v>
      </c>
      <c r="J88" s="151" t="s">
        <v>240</v>
      </c>
      <c r="K88" s="151" t="s">
        <v>241</v>
      </c>
      <c r="L88" s="150" t="s">
        <v>283</v>
      </c>
      <c r="M88" s="170">
        <v>0.8</v>
      </c>
      <c r="N88" s="171">
        <v>5.4</v>
      </c>
      <c r="O88" s="170">
        <v>1.3038404810405297</v>
      </c>
      <c r="P88" s="172">
        <v>0.89442638300064525</v>
      </c>
      <c r="Q88" s="173">
        <v>0.63003999999999993</v>
      </c>
      <c r="R88" s="173">
        <v>0.51378000000000001</v>
      </c>
      <c r="S88" s="173">
        <v>7.7188166191457352E-2</v>
      </c>
      <c r="T88" s="173">
        <v>0.119359193194324</v>
      </c>
      <c r="U88" s="173">
        <v>0.41277722632890795</v>
      </c>
      <c r="V88" s="173">
        <v>0.32555293828937387</v>
      </c>
      <c r="W88" s="173">
        <v>7.4103756641027155E-2</v>
      </c>
      <c r="X88" s="173">
        <v>6.73346270473347E-2</v>
      </c>
      <c r="Y88" s="171">
        <v>996</v>
      </c>
      <c r="Z88" s="171">
        <v>992</v>
      </c>
      <c r="AA88" s="171">
        <v>49.79959839195493</v>
      </c>
      <c r="AB88" s="171">
        <v>30.331501776206203</v>
      </c>
      <c r="AC88" s="171">
        <v>1164</v>
      </c>
      <c r="AD88" s="171">
        <v>1200</v>
      </c>
      <c r="AE88" s="171">
        <v>79.246451024635803</v>
      </c>
      <c r="AF88" s="171">
        <v>149.16433890176299</v>
      </c>
      <c r="AG88" s="171">
        <v>2340</v>
      </c>
      <c r="AH88" s="171">
        <v>2520</v>
      </c>
      <c r="AI88" s="171">
        <v>167.33200530681512</v>
      </c>
      <c r="AJ88" s="171">
        <v>303.31501776206204</v>
      </c>
      <c r="AK88" s="171">
        <v>4200</v>
      </c>
      <c r="AL88" s="171">
        <v>4120</v>
      </c>
      <c r="AM88" s="171">
        <v>616.44140029689765</v>
      </c>
      <c r="AN88" s="171">
        <v>501.9960159204453</v>
      </c>
      <c r="AO88" s="177">
        <v>41400</v>
      </c>
      <c r="AP88" s="177">
        <v>37400</v>
      </c>
      <c r="AQ88" s="176">
        <v>2073.6441353327723</v>
      </c>
      <c r="AR88" s="176">
        <v>2607.6809620810595</v>
      </c>
      <c r="AS88" s="177">
        <v>29800</v>
      </c>
      <c r="AT88" s="177">
        <v>31600</v>
      </c>
      <c r="AU88" s="176">
        <v>2387.4672772626645</v>
      </c>
      <c r="AV88" s="176">
        <v>1949.3588689617927</v>
      </c>
      <c r="AW88" s="177">
        <v>14980</v>
      </c>
      <c r="AX88" s="177">
        <v>16720</v>
      </c>
      <c r="AY88" s="176">
        <v>1181.9475453673906</v>
      </c>
      <c r="AZ88" s="176">
        <v>1407.8352176302453</v>
      </c>
      <c r="BA88" s="177">
        <v>2900</v>
      </c>
      <c r="BB88" s="177">
        <v>3340</v>
      </c>
      <c r="BC88" s="176">
        <v>353.55339059327378</v>
      </c>
      <c r="BD88" s="176">
        <v>687.74995456197598</v>
      </c>
      <c r="BE88" s="167">
        <v>20.035168943840123</v>
      </c>
      <c r="BF88" s="167">
        <v>22.375369578844584</v>
      </c>
      <c r="BG88" s="183">
        <v>1.3255810769042931</v>
      </c>
      <c r="BH88" s="183">
        <v>1.6293314230265377</v>
      </c>
      <c r="BI88" s="167">
        <v>20.888441545852693</v>
      </c>
      <c r="BJ88" s="167">
        <v>20.474245848441424</v>
      </c>
      <c r="BK88" s="183">
        <v>1.5923253629781302</v>
      </c>
      <c r="BL88" s="183">
        <v>3.6078424415061074</v>
      </c>
      <c r="BM88" s="177">
        <v>316</v>
      </c>
      <c r="BN88" s="177">
        <v>326</v>
      </c>
      <c r="BO88" s="176">
        <v>50.299105359837164</v>
      </c>
      <c r="BP88" s="176">
        <v>31.304951684997057</v>
      </c>
      <c r="BQ88" s="176">
        <v>129.62666560872313</v>
      </c>
      <c r="BR88" s="176">
        <v>113.89700842743325</v>
      </c>
      <c r="BS88" s="176">
        <v>13.481127954929269</v>
      </c>
      <c r="BT88" s="176">
        <v>17.775022908706738</v>
      </c>
      <c r="BU88" s="177">
        <v>10600</v>
      </c>
      <c r="BV88" s="177">
        <v>11260</v>
      </c>
      <c r="BW88" s="176">
        <v>897.21792224631804</v>
      </c>
      <c r="BX88" s="176">
        <v>1395.7077057894321</v>
      </c>
      <c r="BY88" s="177">
        <v>4600</v>
      </c>
      <c r="BZ88" s="177">
        <v>4320</v>
      </c>
      <c r="CA88" s="176">
        <v>681.90908484929275</v>
      </c>
      <c r="CB88" s="176">
        <v>402.49223594996215</v>
      </c>
      <c r="CC88" s="189">
        <v>1596</v>
      </c>
      <c r="CD88" s="189">
        <v>1872</v>
      </c>
      <c r="CE88" s="189">
        <v>286.32149762111823</v>
      </c>
      <c r="CF88" s="189">
        <v>269.66646065093079</v>
      </c>
      <c r="CG88" s="189">
        <v>5520</v>
      </c>
      <c r="CH88" s="189">
        <v>5020</v>
      </c>
      <c r="CI88" s="189">
        <v>936.48278147545238</v>
      </c>
      <c r="CJ88" s="189">
        <v>881.47603484156048</v>
      </c>
      <c r="CK88" s="189">
        <v>188.00006378673859</v>
      </c>
      <c r="CL88" s="189">
        <v>184.04067648586809</v>
      </c>
      <c r="CM88" s="189">
        <v>26.03160176509822</v>
      </c>
      <c r="CN88" s="189">
        <v>24.774872318411379</v>
      </c>
      <c r="CO88" s="189">
        <v>2566</v>
      </c>
      <c r="CP88" s="189">
        <v>1488</v>
      </c>
      <c r="CQ88" s="189">
        <v>1634.3744980878771</v>
      </c>
      <c r="CR88" s="189">
        <v>850.62917890229937</v>
      </c>
      <c r="CS88" s="189">
        <v>8280</v>
      </c>
      <c r="CT88" s="189">
        <v>8380</v>
      </c>
      <c r="CU88" s="189">
        <v>563.02753041036988</v>
      </c>
      <c r="CV88" s="189">
        <v>506.95167422546302</v>
      </c>
      <c r="CW88" s="189">
        <v>3880</v>
      </c>
      <c r="CX88" s="189">
        <v>3720</v>
      </c>
      <c r="CY88" s="189">
        <v>356.37059362410923</v>
      </c>
      <c r="CZ88" s="189">
        <v>563.02753041036988</v>
      </c>
      <c r="DA88" s="190" t="s">
        <v>132</v>
      </c>
      <c r="DB88" s="190" t="s">
        <v>132</v>
      </c>
      <c r="DC88" s="190" t="s">
        <v>132</v>
      </c>
      <c r="DD88" s="190" t="s">
        <v>132</v>
      </c>
      <c r="DE88" s="190" t="s">
        <v>132</v>
      </c>
      <c r="DF88" s="190" t="s">
        <v>132</v>
      </c>
      <c r="DG88" s="190" t="s">
        <v>132</v>
      </c>
      <c r="DH88" s="190" t="s">
        <v>132</v>
      </c>
    </row>
    <row r="89" spans="1:112">
      <c r="A89" s="150" t="s">
        <v>148</v>
      </c>
      <c r="B89" s="150">
        <v>5</v>
      </c>
      <c r="C89" s="150">
        <v>5</v>
      </c>
      <c r="D89" s="150" t="s">
        <v>231</v>
      </c>
      <c r="E89" s="150" t="s">
        <v>231</v>
      </c>
      <c r="F89" s="150">
        <v>56</v>
      </c>
      <c r="G89" s="150" t="s">
        <v>234</v>
      </c>
      <c r="H89" s="150" t="s">
        <v>136</v>
      </c>
      <c r="I89" s="151" t="s">
        <v>239</v>
      </c>
      <c r="J89" s="151" t="s">
        <v>240</v>
      </c>
      <c r="K89" s="151" t="s">
        <v>241</v>
      </c>
      <c r="L89" s="150" t="s">
        <v>283</v>
      </c>
      <c r="M89" s="169">
        <v>0</v>
      </c>
      <c r="N89" s="157">
        <v>34.533333333333339</v>
      </c>
      <c r="O89" s="170">
        <v>0</v>
      </c>
      <c r="P89" s="157">
        <v>11.550853744300548</v>
      </c>
      <c r="Q89" s="174">
        <v>3.09138</v>
      </c>
      <c r="R89" s="174">
        <v>3.0625599999999999</v>
      </c>
      <c r="S89" s="174">
        <v>0.1407672440591213</v>
      </c>
      <c r="T89" s="174">
        <v>6.0058954369851716E-2</v>
      </c>
      <c r="U89" s="175">
        <v>0.91129056052601132</v>
      </c>
      <c r="V89" s="175">
        <v>0.9318806768741259</v>
      </c>
      <c r="W89" s="175">
        <v>5.8552484332804612E-2</v>
      </c>
      <c r="X89" s="175">
        <v>6.590034871311283E-2</v>
      </c>
      <c r="Y89" s="176">
        <v>924</v>
      </c>
      <c r="Z89" s="176">
        <v>1214</v>
      </c>
      <c r="AA89" s="167">
        <v>43.358966777357601</v>
      </c>
      <c r="AB89" s="167">
        <v>58.9915248150105</v>
      </c>
      <c r="AC89" s="176">
        <v>1160</v>
      </c>
      <c r="AD89" s="176">
        <v>1494</v>
      </c>
      <c r="AE89" s="167">
        <v>22.360679774997898</v>
      </c>
      <c r="AF89" s="167">
        <v>156.62056059151365</v>
      </c>
      <c r="AG89" s="176">
        <v>155.33767490054527</v>
      </c>
      <c r="AH89" s="176">
        <v>115.81206307291677</v>
      </c>
      <c r="AI89" s="167">
        <v>4.0767977630991989</v>
      </c>
      <c r="AJ89" s="167">
        <v>8.0401246912763202</v>
      </c>
      <c r="AK89" s="176">
        <v>534</v>
      </c>
      <c r="AL89" s="176">
        <v>440</v>
      </c>
      <c r="AM89" s="167">
        <v>60.249481325568276</v>
      </c>
      <c r="AN89" s="167">
        <v>28.284271247461902</v>
      </c>
      <c r="AO89" s="177">
        <v>27600</v>
      </c>
      <c r="AP89" s="177">
        <v>26400</v>
      </c>
      <c r="AQ89" s="181">
        <v>894.42719099991587</v>
      </c>
      <c r="AR89" s="181">
        <v>547.72255750516615</v>
      </c>
      <c r="AS89" s="177">
        <v>24200</v>
      </c>
      <c r="AT89" s="177">
        <v>26800</v>
      </c>
      <c r="AU89" s="181">
        <v>1483.2396974191327</v>
      </c>
      <c r="AV89" s="181">
        <v>1303.8404810405298</v>
      </c>
      <c r="AW89" s="177">
        <v>12660</v>
      </c>
      <c r="AX89" s="177">
        <v>11980</v>
      </c>
      <c r="AY89" s="181">
        <v>594.13803110051788</v>
      </c>
      <c r="AZ89" s="181">
        <v>408.65633483405099</v>
      </c>
      <c r="BA89" s="177">
        <v>3240</v>
      </c>
      <c r="BB89" s="177">
        <v>3120</v>
      </c>
      <c r="BC89" s="181">
        <v>114.0175425099138</v>
      </c>
      <c r="BD89" s="181">
        <v>130.38404810405297</v>
      </c>
      <c r="BE89" s="167">
        <v>8.9170716017925553</v>
      </c>
      <c r="BF89" s="167">
        <v>9.6386322265255977</v>
      </c>
      <c r="BG89" s="184">
        <v>0.30846857099496061</v>
      </c>
      <c r="BH89" s="184">
        <v>9.2632458155801692E-2</v>
      </c>
      <c r="BI89" s="176">
        <v>46.089799768355832</v>
      </c>
      <c r="BJ89" s="176">
        <v>59.599612109893677</v>
      </c>
      <c r="BK89" s="184">
        <v>11.67126502797538</v>
      </c>
      <c r="BL89" s="184">
        <v>8.8621201960057352</v>
      </c>
      <c r="BM89" s="176">
        <v>184.05656003014869</v>
      </c>
      <c r="BN89" s="176">
        <v>147.19097477122517</v>
      </c>
      <c r="BO89" s="181">
        <v>19.054946647741787</v>
      </c>
      <c r="BP89" s="181">
        <v>9.6812792686977911</v>
      </c>
      <c r="BQ89" s="176">
        <v>156.8132718330705</v>
      </c>
      <c r="BR89" s="176">
        <v>199.28029761114985</v>
      </c>
      <c r="BS89" s="181">
        <v>11.132905397496499</v>
      </c>
      <c r="BT89" s="181">
        <v>15.563989637560356</v>
      </c>
      <c r="BU89" s="177">
        <v>6380</v>
      </c>
      <c r="BV89" s="177">
        <v>5860</v>
      </c>
      <c r="BW89" s="181">
        <v>535.72380943915493</v>
      </c>
      <c r="BX89" s="181">
        <v>167.33200530681512</v>
      </c>
      <c r="BY89" s="177">
        <v>8280</v>
      </c>
      <c r="BZ89" s="177">
        <v>6160</v>
      </c>
      <c r="CA89" s="181">
        <v>719.02712048990202</v>
      </c>
      <c r="CB89" s="181">
        <v>391.1521443121589</v>
      </c>
      <c r="CC89" s="189">
        <v>408</v>
      </c>
      <c r="CD89" s="189">
        <v>442</v>
      </c>
      <c r="CE89" s="189">
        <v>19.235384061671343</v>
      </c>
      <c r="CF89" s="189">
        <v>36.331804249169899</v>
      </c>
      <c r="CG89" s="189">
        <v>9620</v>
      </c>
      <c r="CH89" s="189">
        <v>7840</v>
      </c>
      <c r="CI89" s="189">
        <v>554.07580708780279</v>
      </c>
      <c r="CJ89" s="189">
        <v>270.18512172212593</v>
      </c>
      <c r="CK89" s="189">
        <v>93.317734566161931</v>
      </c>
      <c r="CL89" s="189">
        <v>94.362842081956543</v>
      </c>
      <c r="CM89" s="189">
        <v>17.308639104248023</v>
      </c>
      <c r="CN89" s="189">
        <v>18.692353040558974</v>
      </c>
      <c r="CO89" s="189">
        <v>1674</v>
      </c>
      <c r="CP89" s="189">
        <v>3936</v>
      </c>
      <c r="CQ89" s="189">
        <v>293.47913043349439</v>
      </c>
      <c r="CR89" s="189">
        <v>1639.3535311213382</v>
      </c>
      <c r="CS89" s="189">
        <v>4220</v>
      </c>
      <c r="CT89" s="189">
        <v>4880</v>
      </c>
      <c r="CU89" s="189">
        <v>178.88543819998318</v>
      </c>
      <c r="CV89" s="189">
        <v>130.38404810405297</v>
      </c>
      <c r="CW89" s="189">
        <v>3320</v>
      </c>
      <c r="CX89" s="189">
        <v>3340</v>
      </c>
      <c r="CY89" s="189">
        <v>130.38404810405297</v>
      </c>
      <c r="CZ89" s="189">
        <v>288.09720581775866</v>
      </c>
      <c r="DA89" s="189">
        <v>50.932555058551465</v>
      </c>
      <c r="DB89" s="189">
        <v>48.925125718295355</v>
      </c>
      <c r="DC89" s="189">
        <v>2.0768773421344191</v>
      </c>
      <c r="DD89" s="189">
        <v>0.89216414677266853</v>
      </c>
      <c r="DE89" s="189">
        <v>12.916522133369231</v>
      </c>
      <c r="DF89" s="189">
        <v>12.707926719755992</v>
      </c>
      <c r="DG89" s="189">
        <v>0.44642090395881423</v>
      </c>
      <c r="DH89" s="189">
        <v>0.44288768932833372</v>
      </c>
    </row>
    <row r="90" spans="1:112">
      <c r="A90" s="150" t="s">
        <v>148</v>
      </c>
      <c r="B90" s="150">
        <v>5</v>
      </c>
      <c r="C90" s="150">
        <v>5</v>
      </c>
      <c r="D90" s="150" t="s">
        <v>231</v>
      </c>
      <c r="E90" s="150" t="s">
        <v>231</v>
      </c>
      <c r="F90" s="150">
        <v>56</v>
      </c>
      <c r="G90" s="150" t="s">
        <v>234</v>
      </c>
      <c r="H90" s="150" t="s">
        <v>136</v>
      </c>
      <c r="I90" s="151" t="s">
        <v>239</v>
      </c>
      <c r="J90" s="151" t="s">
        <v>240</v>
      </c>
      <c r="K90" s="151" t="s">
        <v>241</v>
      </c>
      <c r="L90" s="150" t="s">
        <v>283</v>
      </c>
      <c r="M90" s="169">
        <v>0.2</v>
      </c>
      <c r="N90" s="157">
        <v>24</v>
      </c>
      <c r="O90" s="157">
        <v>0.44721359549995793</v>
      </c>
      <c r="P90" s="157">
        <v>7.0237691685684949</v>
      </c>
      <c r="Q90" s="174">
        <v>3.1581400000000004</v>
      </c>
      <c r="R90" s="174">
        <v>3.04514</v>
      </c>
      <c r="S90" s="174">
        <v>0.10936253014629585</v>
      </c>
      <c r="T90" s="174">
        <v>7.0479096191700952E-2</v>
      </c>
      <c r="U90" s="175">
        <v>0.90892646604185434</v>
      </c>
      <c r="V90" s="175">
        <v>0.88853377164218728</v>
      </c>
      <c r="W90" s="175">
        <v>3.9823560004432691E-2</v>
      </c>
      <c r="X90" s="175">
        <v>2.7138107541796869E-2</v>
      </c>
      <c r="Y90" s="176">
        <v>858</v>
      </c>
      <c r="Z90" s="176">
        <v>1258</v>
      </c>
      <c r="AA90" s="167">
        <v>25.88435821108957</v>
      </c>
      <c r="AB90" s="167">
        <v>88.713020464867498</v>
      </c>
      <c r="AC90" s="176">
        <v>1132</v>
      </c>
      <c r="AD90" s="176">
        <v>1592</v>
      </c>
      <c r="AE90" s="167">
        <v>66.858058601787121</v>
      </c>
      <c r="AF90" s="167">
        <v>55.407580708780273</v>
      </c>
      <c r="AG90" s="176">
        <v>146.98259039100731</v>
      </c>
      <c r="AH90" s="176">
        <v>126.22013475016266</v>
      </c>
      <c r="AI90" s="167">
        <v>12.983086871667036</v>
      </c>
      <c r="AJ90" s="167">
        <v>13.431719825987237</v>
      </c>
      <c r="AK90" s="176">
        <v>448</v>
      </c>
      <c r="AL90" s="176">
        <v>458</v>
      </c>
      <c r="AM90" s="167">
        <v>39.623225512317902</v>
      </c>
      <c r="AN90" s="167">
        <v>81.670067956381672</v>
      </c>
      <c r="AO90" s="177">
        <v>27000</v>
      </c>
      <c r="AP90" s="177">
        <v>26400</v>
      </c>
      <c r="AQ90" s="181">
        <v>1224.744871391589</v>
      </c>
      <c r="AR90" s="181">
        <v>894.42719099991587</v>
      </c>
      <c r="AS90" s="177">
        <v>25000</v>
      </c>
      <c r="AT90" s="177">
        <v>27600</v>
      </c>
      <c r="AU90" s="181">
        <v>2236.0679774997898</v>
      </c>
      <c r="AV90" s="181">
        <v>547.72255750516615</v>
      </c>
      <c r="AW90" s="177">
        <v>12780</v>
      </c>
      <c r="AX90" s="177">
        <v>12400</v>
      </c>
      <c r="AY90" s="181">
        <v>687.0225614927067</v>
      </c>
      <c r="AZ90" s="181">
        <v>308.22070014844883</v>
      </c>
      <c r="BA90" s="177">
        <v>3400</v>
      </c>
      <c r="BB90" s="177">
        <v>3220</v>
      </c>
      <c r="BC90" s="181">
        <v>100</v>
      </c>
      <c r="BD90" s="181">
        <v>83.66600265340756</v>
      </c>
      <c r="BE90" s="167">
        <v>8.9529727155988592</v>
      </c>
      <c r="BF90" s="167">
        <v>10.392875469065082</v>
      </c>
      <c r="BG90" s="184">
        <v>0.40173239932894284</v>
      </c>
      <c r="BH90" s="184">
        <v>0.95786861475542462</v>
      </c>
      <c r="BI90" s="176">
        <v>31.360256090900133</v>
      </c>
      <c r="BJ90" s="176">
        <v>47.428100653890723</v>
      </c>
      <c r="BK90" s="184">
        <v>4.3370705004292693</v>
      </c>
      <c r="BL90" s="184">
        <v>5.0547231091408893</v>
      </c>
      <c r="BM90" s="176">
        <v>166.79425461534871</v>
      </c>
      <c r="BN90" s="176">
        <v>141.58982381835872</v>
      </c>
      <c r="BO90" s="181">
        <v>19.449589385362795</v>
      </c>
      <c r="BP90" s="181">
        <v>10.680030314840209</v>
      </c>
      <c r="BQ90" s="176">
        <v>143.98895086061347</v>
      </c>
      <c r="BR90" s="176">
        <v>155.23567112718294</v>
      </c>
      <c r="BS90" s="181">
        <v>13.509234544322045</v>
      </c>
      <c r="BT90" s="181">
        <v>16.06853878996078</v>
      </c>
      <c r="BU90" s="177">
        <v>6400</v>
      </c>
      <c r="BV90" s="177">
        <v>6180</v>
      </c>
      <c r="BW90" s="181">
        <v>479.58315233127195</v>
      </c>
      <c r="BX90" s="181">
        <v>130.38404810405297</v>
      </c>
      <c r="BY90" s="177">
        <v>8580</v>
      </c>
      <c r="BZ90" s="177">
        <v>6180</v>
      </c>
      <c r="CA90" s="181">
        <v>420.71367935925258</v>
      </c>
      <c r="CB90" s="181">
        <v>396.23225512317896</v>
      </c>
      <c r="CC90" s="189">
        <v>416</v>
      </c>
      <c r="CD90" s="189">
        <v>458</v>
      </c>
      <c r="CE90" s="189">
        <v>26.076809620810597</v>
      </c>
      <c r="CF90" s="189">
        <v>34.205262752974143</v>
      </c>
      <c r="CG90" s="189">
        <v>9700</v>
      </c>
      <c r="CH90" s="189">
        <v>8760</v>
      </c>
      <c r="CI90" s="189">
        <v>616.44140029689765</v>
      </c>
      <c r="CJ90" s="189">
        <v>288.09720581775866</v>
      </c>
      <c r="CK90" s="189">
        <v>89.692751296254741</v>
      </c>
      <c r="CL90" s="189">
        <v>135.38311460170664</v>
      </c>
      <c r="CM90" s="189">
        <v>7.360771615414011</v>
      </c>
      <c r="CN90" s="189">
        <v>99.084357281527531</v>
      </c>
      <c r="CO90" s="189">
        <v>1898</v>
      </c>
      <c r="CP90" s="189">
        <v>1998</v>
      </c>
      <c r="CQ90" s="189">
        <v>699.44263524609369</v>
      </c>
      <c r="CR90" s="189">
        <v>522.46530985319976</v>
      </c>
      <c r="CS90" s="189">
        <v>4060</v>
      </c>
      <c r="CT90" s="189">
        <v>5180</v>
      </c>
      <c r="CU90" s="189">
        <v>288.09720581775866</v>
      </c>
      <c r="CV90" s="189">
        <v>303.31501776206204</v>
      </c>
      <c r="CW90" s="189">
        <v>3220</v>
      </c>
      <c r="CX90" s="189">
        <v>3440</v>
      </c>
      <c r="CY90" s="189">
        <v>303.31501776206204</v>
      </c>
      <c r="CZ90" s="189">
        <v>114.0175425099138</v>
      </c>
      <c r="DA90" s="189">
        <v>49.43641957986447</v>
      </c>
      <c r="DB90" s="189">
        <v>50.683836525732886</v>
      </c>
      <c r="DC90" s="189">
        <v>1.8994825858992186</v>
      </c>
      <c r="DD90" s="189">
        <v>0.55528525295007503</v>
      </c>
      <c r="DE90" s="189">
        <v>12.799085538620288</v>
      </c>
      <c r="DF90" s="189">
        <v>12.84100462574977</v>
      </c>
      <c r="DG90" s="189">
        <v>0.32618899254038153</v>
      </c>
      <c r="DH90" s="189">
        <v>0.33737804877259781</v>
      </c>
    </row>
    <row r="91" spans="1:112">
      <c r="A91" s="150" t="s">
        <v>148</v>
      </c>
      <c r="B91" s="150">
        <v>5</v>
      </c>
      <c r="C91" s="150">
        <v>5</v>
      </c>
      <c r="D91" s="150" t="s">
        <v>231</v>
      </c>
      <c r="E91" s="150" t="s">
        <v>231</v>
      </c>
      <c r="F91" s="150">
        <v>56</v>
      </c>
      <c r="G91" s="150" t="s">
        <v>234</v>
      </c>
      <c r="H91" s="150" t="s">
        <v>136</v>
      </c>
      <c r="I91" s="151" t="s">
        <v>239</v>
      </c>
      <c r="J91" s="151" t="s">
        <v>240</v>
      </c>
      <c r="K91" s="151" t="s">
        <v>241</v>
      </c>
      <c r="L91" s="150" t="s">
        <v>283</v>
      </c>
      <c r="M91" s="169">
        <v>0.4</v>
      </c>
      <c r="N91" s="157">
        <v>27.866666666666667</v>
      </c>
      <c r="O91" s="157">
        <v>0.89442719099991586</v>
      </c>
      <c r="P91" s="157">
        <v>7.3996996936061858</v>
      </c>
      <c r="Q91" s="174">
        <v>3.0077199999999999</v>
      </c>
      <c r="R91" s="174">
        <v>3.0294999999999996</v>
      </c>
      <c r="S91" s="174">
        <v>0.12383873384365114</v>
      </c>
      <c r="T91" s="174">
        <v>5.249057058179573E-2</v>
      </c>
      <c r="U91" s="175">
        <v>0.92271196730071969</v>
      </c>
      <c r="V91" s="175">
        <v>0.95514202886525845</v>
      </c>
      <c r="W91" s="175">
        <v>8.2565190580887113E-2</v>
      </c>
      <c r="X91" s="175">
        <v>0.11646262689170711</v>
      </c>
      <c r="Y91" s="176">
        <v>836</v>
      </c>
      <c r="Z91" s="176">
        <v>1138</v>
      </c>
      <c r="AA91" s="167">
        <v>42.190046219457976</v>
      </c>
      <c r="AB91" s="167">
        <v>37.013511046643494</v>
      </c>
      <c r="AC91" s="176">
        <v>1080</v>
      </c>
      <c r="AD91" s="176">
        <v>1420</v>
      </c>
      <c r="AE91" s="167">
        <v>86.313382508160345</v>
      </c>
      <c r="AF91" s="167">
        <v>79.686887252546143</v>
      </c>
      <c r="AG91" s="176">
        <v>137.06565141180155</v>
      </c>
      <c r="AH91" s="176">
        <v>111.06381090078017</v>
      </c>
      <c r="AI91" s="167">
        <v>12.2434743169136</v>
      </c>
      <c r="AJ91" s="167">
        <v>6.3925149257274052</v>
      </c>
      <c r="AK91" s="176">
        <v>322</v>
      </c>
      <c r="AL91" s="176">
        <v>342</v>
      </c>
      <c r="AM91" s="167">
        <v>19.235384061671343</v>
      </c>
      <c r="AN91" s="167">
        <v>67.970581871865718</v>
      </c>
      <c r="AO91" s="177">
        <v>27400</v>
      </c>
      <c r="AP91" s="177">
        <v>27000</v>
      </c>
      <c r="AQ91" s="181">
        <v>1516.57508881031</v>
      </c>
      <c r="AR91" s="181">
        <v>0</v>
      </c>
      <c r="AS91" s="177">
        <v>25000</v>
      </c>
      <c r="AT91" s="177">
        <v>25600</v>
      </c>
      <c r="AU91" s="181">
        <v>1870.8286933869706</v>
      </c>
      <c r="AV91" s="181">
        <v>894.42719099991587</v>
      </c>
      <c r="AW91" s="177">
        <v>13300</v>
      </c>
      <c r="AX91" s="177">
        <v>11880</v>
      </c>
      <c r="AY91" s="181">
        <v>604.15229867972857</v>
      </c>
      <c r="AZ91" s="181">
        <v>521.53619241621186</v>
      </c>
      <c r="BA91" s="177">
        <v>3100</v>
      </c>
      <c r="BB91" s="177">
        <v>3080</v>
      </c>
      <c r="BC91" s="181">
        <v>212.13203435596427</v>
      </c>
      <c r="BD91" s="181">
        <v>109.54451150103323</v>
      </c>
      <c r="BE91" s="167">
        <v>8.9951065643114951</v>
      </c>
      <c r="BF91" s="167">
        <v>9.3244554618270392</v>
      </c>
      <c r="BG91" s="184">
        <v>0.61277369328783038</v>
      </c>
      <c r="BH91" s="184">
        <v>0.25293340501119044</v>
      </c>
      <c r="BI91" s="176">
        <v>27.760338258101704</v>
      </c>
      <c r="BJ91" s="176">
        <v>38.929234105569392</v>
      </c>
      <c r="BK91" s="184">
        <v>3.123869104141392</v>
      </c>
      <c r="BL91" s="184">
        <v>4.2233357719599214</v>
      </c>
      <c r="BM91" s="176">
        <v>186.28396690366009</v>
      </c>
      <c r="BN91" s="176">
        <v>153.39218297208717</v>
      </c>
      <c r="BO91" s="181">
        <v>23.550675475030289</v>
      </c>
      <c r="BP91" s="181">
        <v>9.5894140543822068</v>
      </c>
      <c r="BQ91" s="176">
        <v>154.17443464773891</v>
      </c>
      <c r="BR91" s="176">
        <v>173.71288366394671</v>
      </c>
      <c r="BS91" s="181">
        <v>11.366277935435814</v>
      </c>
      <c r="BT91" s="181">
        <v>13.247659886194924</v>
      </c>
      <c r="BU91" s="177">
        <v>6960</v>
      </c>
      <c r="BV91" s="177">
        <v>6000</v>
      </c>
      <c r="BW91" s="181">
        <v>730.06848993775918</v>
      </c>
      <c r="BX91" s="181">
        <v>234.52078799117149</v>
      </c>
      <c r="BY91" s="177">
        <v>8320</v>
      </c>
      <c r="BZ91" s="177">
        <v>6400</v>
      </c>
      <c r="CA91" s="181">
        <v>798.12279756939654</v>
      </c>
      <c r="CB91" s="181">
        <v>264.57513110645908</v>
      </c>
      <c r="CC91" s="189">
        <v>448</v>
      </c>
      <c r="CD91" s="189">
        <v>406</v>
      </c>
      <c r="CE91" s="189">
        <v>28.635642126552707</v>
      </c>
      <c r="CF91" s="189">
        <v>36.469165057620941</v>
      </c>
      <c r="CG91" s="189">
        <v>9820</v>
      </c>
      <c r="CH91" s="189">
        <v>8620</v>
      </c>
      <c r="CI91" s="189">
        <v>864.29161745327599</v>
      </c>
      <c r="CJ91" s="189">
        <v>420.71367935925258</v>
      </c>
      <c r="CK91" s="189">
        <v>111.16351145434646</v>
      </c>
      <c r="CL91" s="189">
        <v>83.583335259974362</v>
      </c>
      <c r="CM91" s="189">
        <v>13.448214780405168</v>
      </c>
      <c r="CN91" s="189">
        <v>21.195239267854362</v>
      </c>
      <c r="CO91" s="189">
        <v>2058</v>
      </c>
      <c r="CP91" s="189">
        <v>3102</v>
      </c>
      <c r="CQ91" s="189">
        <v>1116.8348132109779</v>
      </c>
      <c r="CR91" s="189">
        <v>1357.9469798191681</v>
      </c>
      <c r="CS91" s="189">
        <v>4000</v>
      </c>
      <c r="CT91" s="189">
        <v>4680</v>
      </c>
      <c r="CU91" s="189">
        <v>212.13203435596427</v>
      </c>
      <c r="CV91" s="189">
        <v>216.79483388678798</v>
      </c>
      <c r="CW91" s="189">
        <v>3040</v>
      </c>
      <c r="CX91" s="189">
        <v>3240</v>
      </c>
      <c r="CY91" s="189">
        <v>260.76809620810593</v>
      </c>
      <c r="CZ91" s="189">
        <v>288.09720581775866</v>
      </c>
      <c r="DA91" s="189">
        <v>51.300911514553377</v>
      </c>
      <c r="DB91" s="189">
        <v>49.284670784199733</v>
      </c>
      <c r="DC91" s="189">
        <v>1.3962022707967916</v>
      </c>
      <c r="DD91" s="189">
        <v>1.9811802634115114</v>
      </c>
      <c r="DE91" s="189">
        <v>12.410369911885468</v>
      </c>
      <c r="DF91" s="189">
        <v>12.687008198985357</v>
      </c>
      <c r="DG91" s="189">
        <v>0.77422393376342991</v>
      </c>
      <c r="DH91" s="189">
        <v>0.22181600035659571</v>
      </c>
    </row>
    <row r="92" spans="1:112">
      <c r="A92" s="150" t="s">
        <v>148</v>
      </c>
      <c r="B92" s="150">
        <v>5</v>
      </c>
      <c r="C92" s="150">
        <v>5</v>
      </c>
      <c r="D92" s="150" t="s">
        <v>231</v>
      </c>
      <c r="E92" s="150" t="s">
        <v>231</v>
      </c>
      <c r="F92" s="150">
        <v>56</v>
      </c>
      <c r="G92" s="150" t="s">
        <v>234</v>
      </c>
      <c r="H92" s="150" t="s">
        <v>136</v>
      </c>
      <c r="I92" s="151" t="s">
        <v>239</v>
      </c>
      <c r="J92" s="151" t="s">
        <v>240</v>
      </c>
      <c r="K92" s="151" t="s">
        <v>241</v>
      </c>
      <c r="L92" s="150" t="s">
        <v>283</v>
      </c>
      <c r="M92" s="169">
        <v>0.6</v>
      </c>
      <c r="N92" s="157">
        <v>28.533333333333339</v>
      </c>
      <c r="O92" s="157">
        <v>0.89442719099991586</v>
      </c>
      <c r="P92" s="157">
        <v>6.1355068612498549</v>
      </c>
      <c r="Q92" s="174">
        <v>3.1428199999999999</v>
      </c>
      <c r="R92" s="174">
        <v>3.1905200000000002</v>
      </c>
      <c r="S92" s="174">
        <v>5.9334071156472594E-2</v>
      </c>
      <c r="T92" s="174">
        <v>7.6339878176483661E-2</v>
      </c>
      <c r="U92" s="175">
        <v>0.93880015981116605</v>
      </c>
      <c r="V92" s="175">
        <v>0.92967959480654638</v>
      </c>
      <c r="W92" s="175">
        <v>3.3152601020293111E-2</v>
      </c>
      <c r="X92" s="175">
        <v>7.1653596095102509E-2</v>
      </c>
      <c r="Y92" s="176">
        <v>922</v>
      </c>
      <c r="Z92" s="176">
        <v>1260</v>
      </c>
      <c r="AA92" s="167">
        <v>60.991802727907626</v>
      </c>
      <c r="AB92" s="167">
        <v>88.317608663278463</v>
      </c>
      <c r="AC92" s="176">
        <v>1158</v>
      </c>
      <c r="AD92" s="176">
        <v>1536</v>
      </c>
      <c r="AE92" s="167">
        <v>61.400325732035007</v>
      </c>
      <c r="AF92" s="167">
        <v>68.774995456197601</v>
      </c>
      <c r="AG92" s="176">
        <v>117.60376949131003</v>
      </c>
      <c r="AH92" s="176">
        <v>90.928005300000251</v>
      </c>
      <c r="AI92" s="167">
        <v>6.0426397348014804</v>
      </c>
      <c r="AJ92" s="167">
        <v>3.091022864562023</v>
      </c>
      <c r="AK92" s="176">
        <v>234</v>
      </c>
      <c r="AL92" s="176">
        <v>226</v>
      </c>
      <c r="AM92" s="167">
        <v>11.401754250991379</v>
      </c>
      <c r="AN92" s="167">
        <v>11.401754250991379</v>
      </c>
      <c r="AO92" s="177">
        <v>27400</v>
      </c>
      <c r="AP92" s="177">
        <v>25400</v>
      </c>
      <c r="AQ92" s="181">
        <v>894.42719099991587</v>
      </c>
      <c r="AR92" s="181">
        <v>1140.175425099138</v>
      </c>
      <c r="AS92" s="177">
        <v>24600</v>
      </c>
      <c r="AT92" s="177">
        <v>25600</v>
      </c>
      <c r="AU92" s="181">
        <v>547.72255750516615</v>
      </c>
      <c r="AV92" s="181">
        <v>1673.3200530681511</v>
      </c>
      <c r="AW92" s="177">
        <v>12900</v>
      </c>
      <c r="AX92" s="177">
        <v>11680</v>
      </c>
      <c r="AY92" s="181">
        <v>595.81876439064922</v>
      </c>
      <c r="AZ92" s="181">
        <v>521.53619241621186</v>
      </c>
      <c r="BA92" s="177">
        <v>3120</v>
      </c>
      <c r="BB92" s="177">
        <v>3100</v>
      </c>
      <c r="BC92" s="181">
        <v>130.38404810405297</v>
      </c>
      <c r="BD92" s="181">
        <v>70.710678118654755</v>
      </c>
      <c r="BE92" s="167">
        <v>8.4164319764258604</v>
      </c>
      <c r="BF92" s="167">
        <v>9.0351432008049759</v>
      </c>
      <c r="BG92" s="184">
        <v>0.36003641696510857</v>
      </c>
      <c r="BH92" s="184">
        <v>0.79576003372443826</v>
      </c>
      <c r="BI92" s="176">
        <v>30.027695008078307</v>
      </c>
      <c r="BJ92" s="176">
        <v>40.61737916309643</v>
      </c>
      <c r="BK92" s="184">
        <v>1.4248358648017585</v>
      </c>
      <c r="BL92" s="184">
        <v>6.2682559243086864</v>
      </c>
      <c r="BM92" s="176">
        <v>176.48141342065293</v>
      </c>
      <c r="BN92" s="176">
        <v>147.23611838145126</v>
      </c>
      <c r="BO92" s="181">
        <v>14.799719883115989</v>
      </c>
      <c r="BP92" s="181">
        <v>2.4056890333398164</v>
      </c>
      <c r="BQ92" s="176">
        <v>156.69555501371906</v>
      </c>
      <c r="BR92" s="176">
        <v>250.37071039414224</v>
      </c>
      <c r="BS92" s="181">
        <v>7.6015941028705436</v>
      </c>
      <c r="BT92" s="181">
        <v>178.72725367720918</v>
      </c>
      <c r="BU92" s="177">
        <v>6640</v>
      </c>
      <c r="BV92" s="177">
        <v>5840</v>
      </c>
      <c r="BW92" s="181">
        <v>378.15340802378074</v>
      </c>
      <c r="BX92" s="181">
        <v>114.0175425099138</v>
      </c>
      <c r="BY92" s="177">
        <v>8060</v>
      </c>
      <c r="BZ92" s="177">
        <v>6060</v>
      </c>
      <c r="CA92" s="181">
        <v>572.71284253105409</v>
      </c>
      <c r="CB92" s="181">
        <v>167.33200530681512</v>
      </c>
      <c r="CC92" s="189">
        <v>442</v>
      </c>
      <c r="CD92" s="189">
        <v>454</v>
      </c>
      <c r="CE92" s="189">
        <v>38.987177379235852</v>
      </c>
      <c r="CF92" s="189">
        <v>15.165750888103101</v>
      </c>
      <c r="CG92" s="189">
        <v>10680</v>
      </c>
      <c r="CH92" s="189">
        <v>9600</v>
      </c>
      <c r="CI92" s="189">
        <v>383.40579025361626</v>
      </c>
      <c r="CJ92" s="189">
        <v>509.90195135927848</v>
      </c>
      <c r="CK92" s="189">
        <v>94.664735212257028</v>
      </c>
      <c r="CL92" s="189">
        <v>285.00070622584428</v>
      </c>
      <c r="CM92" s="189">
        <v>8.0357382986581811</v>
      </c>
      <c r="CN92" s="189">
        <v>368.32111299858121</v>
      </c>
      <c r="CO92" s="189">
        <v>2372</v>
      </c>
      <c r="CP92" s="189">
        <v>2576</v>
      </c>
      <c r="CQ92" s="189">
        <v>637.90281391447081</v>
      </c>
      <c r="CR92" s="189">
        <v>1028.9946549909771</v>
      </c>
      <c r="CS92" s="189">
        <v>4120</v>
      </c>
      <c r="CT92" s="189">
        <v>4820</v>
      </c>
      <c r="CU92" s="189">
        <v>109.54451150103323</v>
      </c>
      <c r="CV92" s="189">
        <v>238.74672772626644</v>
      </c>
      <c r="CW92" s="189">
        <v>3460</v>
      </c>
      <c r="CX92" s="189">
        <v>3660</v>
      </c>
      <c r="CY92" s="189">
        <v>114.0175425099138</v>
      </c>
      <c r="CZ92" s="189">
        <v>151.65750888103102</v>
      </c>
      <c r="DA92" s="189">
        <v>49.295270658824407</v>
      </c>
      <c r="DB92" s="189">
        <v>46.922581319642283</v>
      </c>
      <c r="DC92" s="189">
        <v>1.9194628804628413</v>
      </c>
      <c r="DD92" s="189">
        <v>1.6367590484164167</v>
      </c>
      <c r="DE92" s="189">
        <v>13.196062846074133</v>
      </c>
      <c r="DF92" s="189">
        <v>13.153371636923998</v>
      </c>
      <c r="DG92" s="189">
        <v>0.32404200641851671</v>
      </c>
      <c r="DH92" s="189">
        <v>0.72046644906401103</v>
      </c>
    </row>
    <row r="93" spans="1:112">
      <c r="A93" s="150" t="s">
        <v>148</v>
      </c>
      <c r="B93" s="150">
        <v>5</v>
      </c>
      <c r="C93" s="150">
        <v>5</v>
      </c>
      <c r="D93" s="150" t="s">
        <v>231</v>
      </c>
      <c r="E93" s="150" t="s">
        <v>231</v>
      </c>
      <c r="F93" s="150">
        <v>56</v>
      </c>
      <c r="G93" s="150" t="s">
        <v>234</v>
      </c>
      <c r="H93" s="150" t="s">
        <v>136</v>
      </c>
      <c r="I93" s="151" t="s">
        <v>239</v>
      </c>
      <c r="J93" s="151" t="s">
        <v>240</v>
      </c>
      <c r="K93" s="151" t="s">
        <v>241</v>
      </c>
      <c r="L93" s="150" t="s">
        <v>283</v>
      </c>
      <c r="M93" s="169">
        <v>0.4</v>
      </c>
      <c r="N93" s="157">
        <v>25.6</v>
      </c>
      <c r="O93" s="157">
        <v>0.54772255750516607</v>
      </c>
      <c r="P93" s="157">
        <v>13.313318310791059</v>
      </c>
      <c r="Q93" s="174">
        <v>2.7082799999999998</v>
      </c>
      <c r="R93" s="174">
        <v>2.9537199999999997</v>
      </c>
      <c r="S93" s="174">
        <v>0.10723001911778794</v>
      </c>
      <c r="T93" s="174">
        <v>0.12137037117847758</v>
      </c>
      <c r="U93" s="175">
        <v>0.81463691359388624</v>
      </c>
      <c r="V93" s="175">
        <v>0.92330970668457835</v>
      </c>
      <c r="W93" s="175">
        <v>8.5826940640832003E-2</v>
      </c>
      <c r="X93" s="175">
        <v>2.6496615063424711E-2</v>
      </c>
      <c r="Y93" s="176">
        <v>858</v>
      </c>
      <c r="Z93" s="176">
        <v>1182</v>
      </c>
      <c r="AA93" s="167">
        <v>88.994381845147956</v>
      </c>
      <c r="AB93" s="167">
        <v>103.53743284435828</v>
      </c>
      <c r="AC93" s="176">
        <v>1062</v>
      </c>
      <c r="AD93" s="176">
        <v>1456</v>
      </c>
      <c r="AE93" s="167">
        <v>74.966659255965254</v>
      </c>
      <c r="AF93" s="167">
        <v>37.148351242013419</v>
      </c>
      <c r="AG93" s="176">
        <v>131.9558515594691</v>
      </c>
      <c r="AH93" s="176">
        <v>102.42542467264809</v>
      </c>
      <c r="AI93" s="167">
        <v>7.2473477342467127</v>
      </c>
      <c r="AJ93" s="167">
        <v>3.0176168550919114</v>
      </c>
      <c r="AK93" s="176">
        <v>352</v>
      </c>
      <c r="AL93" s="176">
        <v>306</v>
      </c>
      <c r="AM93" s="167">
        <v>13.038404810405298</v>
      </c>
      <c r="AN93" s="167">
        <v>32.863353450309965</v>
      </c>
      <c r="AO93" s="177">
        <v>28000</v>
      </c>
      <c r="AP93" s="177">
        <v>26000</v>
      </c>
      <c r="AQ93" s="181">
        <v>1000</v>
      </c>
      <c r="AR93" s="181">
        <v>0</v>
      </c>
      <c r="AS93" s="177">
        <v>25200</v>
      </c>
      <c r="AT93" s="177">
        <v>26600</v>
      </c>
      <c r="AU93" s="181">
        <v>2489.9799195977466</v>
      </c>
      <c r="AV93" s="181">
        <v>547.72255750516615</v>
      </c>
      <c r="AW93" s="177">
        <v>12860</v>
      </c>
      <c r="AX93" s="177">
        <v>12060</v>
      </c>
      <c r="AY93" s="181">
        <v>838.45095265018335</v>
      </c>
      <c r="AZ93" s="181">
        <v>691.37544069774424</v>
      </c>
      <c r="BA93" s="177">
        <v>3220</v>
      </c>
      <c r="BB93" s="177">
        <v>3020</v>
      </c>
      <c r="BC93" s="181">
        <v>178.88543819998318</v>
      </c>
      <c r="BD93" s="181">
        <v>83.66600265340756</v>
      </c>
      <c r="BE93" s="167">
        <v>8.8923154459592748</v>
      </c>
      <c r="BF93" s="167">
        <v>9.4369285434094987</v>
      </c>
      <c r="BG93" s="184">
        <v>0.62806106754654523</v>
      </c>
      <c r="BH93" s="184">
        <v>0.50080011168931193</v>
      </c>
      <c r="BI93" s="176">
        <v>27.971762023240849</v>
      </c>
      <c r="BJ93" s="176">
        <v>40.717939700993057</v>
      </c>
      <c r="BK93" s="184">
        <v>2.716727378897283</v>
      </c>
      <c r="BL93" s="184">
        <v>3.6472659921606478</v>
      </c>
      <c r="BM93" s="176">
        <v>178.535246062049</v>
      </c>
      <c r="BN93" s="176">
        <v>149.3557376719013</v>
      </c>
      <c r="BO93" s="181">
        <v>15.871227020985486</v>
      </c>
      <c r="BP93" s="181">
        <v>15.947850270462778</v>
      </c>
      <c r="BQ93" s="176">
        <v>151.57148710210558</v>
      </c>
      <c r="BR93" s="176">
        <v>175.00216249071713</v>
      </c>
      <c r="BS93" s="181">
        <v>4.5279820504851358</v>
      </c>
      <c r="BT93" s="181">
        <v>29.209261246400985</v>
      </c>
      <c r="BU93" s="177">
        <v>6740</v>
      </c>
      <c r="BV93" s="177">
        <v>6100</v>
      </c>
      <c r="BW93" s="181">
        <v>594.13803110051788</v>
      </c>
      <c r="BX93" s="181">
        <v>316.22776601683796</v>
      </c>
      <c r="BY93" s="177">
        <v>7860</v>
      </c>
      <c r="BZ93" s="177">
        <v>6060</v>
      </c>
      <c r="CA93" s="181">
        <v>357.77087639996637</v>
      </c>
      <c r="CB93" s="181">
        <v>240.8318915758459</v>
      </c>
      <c r="CC93" s="189">
        <v>418</v>
      </c>
      <c r="CD93" s="189">
        <v>406</v>
      </c>
      <c r="CE93" s="189">
        <v>58.906705900092561</v>
      </c>
      <c r="CF93" s="189">
        <v>25.099800796022265</v>
      </c>
      <c r="CG93" s="189">
        <v>9800</v>
      </c>
      <c r="CH93" s="189">
        <v>8520</v>
      </c>
      <c r="CI93" s="189">
        <v>1017.3494974687902</v>
      </c>
      <c r="CJ93" s="189">
        <v>311.44823004794875</v>
      </c>
      <c r="CK93" s="189">
        <v>106.7078378704676</v>
      </c>
      <c r="CL93" s="189">
        <v>124.37813705452993</v>
      </c>
      <c r="CM93" s="189">
        <v>9.7575141362334588</v>
      </c>
      <c r="CN93" s="189">
        <v>59.421042273646769</v>
      </c>
      <c r="CO93" s="189">
        <v>1622</v>
      </c>
      <c r="CP93" s="189">
        <v>2500</v>
      </c>
      <c r="CQ93" s="189">
        <v>331.31555955010623</v>
      </c>
      <c r="CR93" s="189">
        <v>374.16573867739413</v>
      </c>
      <c r="CS93" s="189">
        <v>3700</v>
      </c>
      <c r="CT93" s="189">
        <v>4660</v>
      </c>
      <c r="CU93" s="189">
        <v>234.52078799117149</v>
      </c>
      <c r="CV93" s="189">
        <v>194.93588689617928</v>
      </c>
      <c r="CW93" s="189">
        <v>3060</v>
      </c>
      <c r="CX93" s="189">
        <v>3320</v>
      </c>
      <c r="CY93" s="189">
        <v>320.93613071762422</v>
      </c>
      <c r="CZ93" s="189">
        <v>130.38404810405297</v>
      </c>
      <c r="DA93" s="189">
        <v>48.078073730160689</v>
      </c>
      <c r="DB93" s="189">
        <v>48.035696269430815</v>
      </c>
      <c r="DC93" s="189">
        <v>2.2521899402055756</v>
      </c>
      <c r="DD93" s="189">
        <v>2.058481821596243</v>
      </c>
      <c r="DE93" s="189">
        <v>12.931038143945457</v>
      </c>
      <c r="DF93" s="189">
        <v>12.714678123755666</v>
      </c>
      <c r="DG93" s="189">
        <v>0.48306551030240047</v>
      </c>
      <c r="DH93" s="189">
        <v>0.29958259272261561</v>
      </c>
    </row>
    <row r="94" spans="1:112">
      <c r="A94" s="150" t="s">
        <v>148</v>
      </c>
      <c r="B94" s="150">
        <v>5</v>
      </c>
      <c r="C94" s="150">
        <v>5</v>
      </c>
      <c r="D94" s="150" t="s">
        <v>231</v>
      </c>
      <c r="E94" s="150" t="s">
        <v>231</v>
      </c>
      <c r="F94" s="150">
        <v>56</v>
      </c>
      <c r="G94" s="150" t="s">
        <v>234</v>
      </c>
      <c r="H94" s="150" t="s">
        <v>136</v>
      </c>
      <c r="I94" s="151" t="s">
        <v>239</v>
      </c>
      <c r="J94" s="151" t="s">
        <v>240</v>
      </c>
      <c r="K94" s="151" t="s">
        <v>241</v>
      </c>
      <c r="L94" s="150" t="s">
        <v>283</v>
      </c>
      <c r="M94" s="169">
        <v>0</v>
      </c>
      <c r="N94" s="157">
        <v>30</v>
      </c>
      <c r="O94" s="157">
        <v>0</v>
      </c>
      <c r="P94" s="157">
        <v>2.8674417556808667</v>
      </c>
      <c r="Q94" s="174">
        <v>3.10738</v>
      </c>
      <c r="R94" s="174">
        <v>3.0852400000000002</v>
      </c>
      <c r="S94" s="174">
        <v>0.19908390693373237</v>
      </c>
      <c r="T94" s="174">
        <v>8.0559189419938143E-2</v>
      </c>
      <c r="U94" s="175">
        <v>0.91049020252559687</v>
      </c>
      <c r="V94" s="175">
        <v>0.97507155037482929</v>
      </c>
      <c r="W94" s="175">
        <v>4.434153731965583E-2</v>
      </c>
      <c r="X94" s="175">
        <v>4.7209309428363308E-2</v>
      </c>
      <c r="Y94" s="176">
        <v>1012</v>
      </c>
      <c r="Z94" s="176">
        <v>1386</v>
      </c>
      <c r="AA94" s="167">
        <v>16.431676725154983</v>
      </c>
      <c r="AB94" s="167">
        <v>59.413803110051795</v>
      </c>
      <c r="AC94" s="176">
        <v>1204</v>
      </c>
      <c r="AD94" s="176">
        <v>1568</v>
      </c>
      <c r="AE94" s="167">
        <v>29.664793948382652</v>
      </c>
      <c r="AF94" s="167">
        <v>96.280839215287273</v>
      </c>
      <c r="AG94" s="176">
        <v>165.1677701445075</v>
      </c>
      <c r="AH94" s="176">
        <v>141.95707314207067</v>
      </c>
      <c r="AI94" s="167">
        <v>11.285319546131563</v>
      </c>
      <c r="AJ94" s="167">
        <v>3.9419577641096888</v>
      </c>
      <c r="AK94" s="176">
        <v>516</v>
      </c>
      <c r="AL94" s="176">
        <v>460</v>
      </c>
      <c r="AM94" s="167">
        <v>38.470768123342687</v>
      </c>
      <c r="AN94" s="167">
        <v>29.154759474226502</v>
      </c>
      <c r="AO94" s="177">
        <v>27600</v>
      </c>
      <c r="AP94" s="177">
        <v>25800</v>
      </c>
      <c r="AQ94" s="181">
        <v>1516.57508881031</v>
      </c>
      <c r="AR94" s="181">
        <v>836.66002653407554</v>
      </c>
      <c r="AS94" s="177">
        <v>25400</v>
      </c>
      <c r="AT94" s="177">
        <v>26800</v>
      </c>
      <c r="AU94" s="181">
        <v>547.72255750516615</v>
      </c>
      <c r="AV94" s="181">
        <v>447.21359549995793</v>
      </c>
      <c r="AW94" s="177">
        <v>12280</v>
      </c>
      <c r="AX94" s="177">
        <v>12580</v>
      </c>
      <c r="AY94" s="181">
        <v>641.87226143524845</v>
      </c>
      <c r="AZ94" s="181">
        <v>286.35642126552705</v>
      </c>
      <c r="BA94" s="177">
        <v>3060</v>
      </c>
      <c r="BB94" s="177">
        <v>2960</v>
      </c>
      <c r="BC94" s="181">
        <v>207.3644135332772</v>
      </c>
      <c r="BD94" s="181">
        <v>89.442719099991592</v>
      </c>
      <c r="BE94" s="167">
        <v>8.4994976876297628</v>
      </c>
      <c r="BF94" s="167">
        <v>9.4741516087545712</v>
      </c>
      <c r="BG94" s="184">
        <v>0.57227268543496057</v>
      </c>
      <c r="BH94" s="184">
        <v>0.264600242602196</v>
      </c>
      <c r="BI94" s="176">
        <v>31.274793672280744</v>
      </c>
      <c r="BJ94" s="176">
        <v>42.375932631069773</v>
      </c>
      <c r="BK94" s="184">
        <v>2.7597792419147993</v>
      </c>
      <c r="BL94" s="184">
        <v>7.1823436988496994</v>
      </c>
      <c r="BM94" s="176">
        <v>172.65561793278067</v>
      </c>
      <c r="BN94" s="176">
        <v>151.07306249795775</v>
      </c>
      <c r="BO94" s="181">
        <v>20.229566487240728</v>
      </c>
      <c r="BP94" s="181">
        <v>9.317937104688486</v>
      </c>
      <c r="BQ94" s="176">
        <v>165.41420412883119</v>
      </c>
      <c r="BR94" s="176">
        <v>171.24578722280535</v>
      </c>
      <c r="BS94" s="181">
        <v>19.900058439635792</v>
      </c>
      <c r="BT94" s="181">
        <v>16.111760797668367</v>
      </c>
      <c r="BU94" s="177">
        <v>6180</v>
      </c>
      <c r="BV94" s="177">
        <v>6220</v>
      </c>
      <c r="BW94" s="181">
        <v>438.17804600413291</v>
      </c>
      <c r="BX94" s="181">
        <v>83.66600265340756</v>
      </c>
      <c r="BY94" s="177">
        <v>8460</v>
      </c>
      <c r="BZ94" s="177">
        <v>6640</v>
      </c>
      <c r="CA94" s="181">
        <v>585.66201857385283</v>
      </c>
      <c r="CB94" s="181">
        <v>181.65902124584949</v>
      </c>
      <c r="CC94" s="189">
        <v>440</v>
      </c>
      <c r="CD94" s="189">
        <v>434</v>
      </c>
      <c r="CE94" s="189">
        <v>39.370039370059054</v>
      </c>
      <c r="CF94" s="189">
        <v>31.304951684997057</v>
      </c>
      <c r="CG94" s="189">
        <v>9900</v>
      </c>
      <c r="CH94" s="189">
        <v>8580</v>
      </c>
      <c r="CI94" s="189">
        <v>578.79184513951122</v>
      </c>
      <c r="CJ94" s="189">
        <v>653.45237010818164</v>
      </c>
      <c r="CK94" s="189">
        <v>91.707814894865393</v>
      </c>
      <c r="CL94" s="189">
        <v>86.688124303674726</v>
      </c>
      <c r="CM94" s="189">
        <v>16.128636028301671</v>
      </c>
      <c r="CN94" s="189">
        <v>21.140492650592964</v>
      </c>
      <c r="CO94" s="189">
        <v>1784</v>
      </c>
      <c r="CP94" s="189">
        <v>2122</v>
      </c>
      <c r="CQ94" s="189">
        <v>411.61875564653269</v>
      </c>
      <c r="CR94" s="189">
        <v>988.84781437792537</v>
      </c>
      <c r="CS94" s="189">
        <v>4280</v>
      </c>
      <c r="CT94" s="189">
        <v>5240</v>
      </c>
      <c r="CU94" s="189">
        <v>277.48873851023217</v>
      </c>
      <c r="CV94" s="189">
        <v>89.442719099991592</v>
      </c>
      <c r="CW94" s="189">
        <v>3560</v>
      </c>
      <c r="CX94" s="189">
        <v>3520</v>
      </c>
      <c r="CY94" s="189">
        <v>288.09720581775866</v>
      </c>
      <c r="CZ94" s="189">
        <v>148.32396974191326</v>
      </c>
      <c r="DA94" s="189">
        <v>49.834508927683281</v>
      </c>
      <c r="DB94" s="189">
        <v>50.218407901129716</v>
      </c>
      <c r="DC94" s="189">
        <v>2.578436472098379</v>
      </c>
      <c r="DD94" s="189">
        <v>0.90974168618114593</v>
      </c>
      <c r="DE94" s="189">
        <v>13.003094521752724</v>
      </c>
      <c r="DF94" s="189">
        <v>12.860864062967641</v>
      </c>
      <c r="DG94" s="189">
        <v>0.45051610767319056</v>
      </c>
      <c r="DH94" s="189">
        <v>0.61661280776670679</v>
      </c>
    </row>
    <row r="95" spans="1:112">
      <c r="A95" s="150" t="s">
        <v>149</v>
      </c>
      <c r="B95" s="150">
        <v>6</v>
      </c>
      <c r="C95" s="150">
        <v>6</v>
      </c>
      <c r="D95" s="150" t="s">
        <v>231</v>
      </c>
      <c r="E95" s="150" t="s">
        <v>231</v>
      </c>
      <c r="F95" s="150">
        <v>36</v>
      </c>
      <c r="G95" s="150" t="s">
        <v>234</v>
      </c>
      <c r="H95" s="150" t="s">
        <v>137</v>
      </c>
      <c r="I95" s="150" t="s">
        <v>132</v>
      </c>
      <c r="J95" s="150" t="s">
        <v>132</v>
      </c>
      <c r="K95" s="150" t="s">
        <v>132</v>
      </c>
      <c r="L95" s="150" t="s">
        <v>283</v>
      </c>
      <c r="M95" s="150">
        <v>0</v>
      </c>
      <c r="N95" s="150">
        <v>23</v>
      </c>
      <c r="O95" s="150">
        <v>0</v>
      </c>
      <c r="P95" s="150">
        <f>1.5*2.45</f>
        <v>3.6750000000000003</v>
      </c>
      <c r="Q95" s="150" t="s">
        <v>132</v>
      </c>
      <c r="R95" s="150" t="s">
        <v>132</v>
      </c>
      <c r="S95" s="150" t="s">
        <v>132</v>
      </c>
      <c r="T95" s="150" t="s">
        <v>132</v>
      </c>
      <c r="U95" s="150" t="s">
        <v>132</v>
      </c>
      <c r="V95" s="150" t="s">
        <v>132</v>
      </c>
      <c r="W95" s="150" t="s">
        <v>132</v>
      </c>
      <c r="X95" s="150" t="s">
        <v>132</v>
      </c>
      <c r="Y95" s="150" t="s">
        <v>132</v>
      </c>
      <c r="Z95" s="150" t="s">
        <v>132</v>
      </c>
      <c r="AA95" s="150" t="s">
        <v>132</v>
      </c>
      <c r="AB95" s="150" t="s">
        <v>132</v>
      </c>
      <c r="AC95" s="150" t="s">
        <v>132</v>
      </c>
      <c r="AD95" s="150" t="s">
        <v>132</v>
      </c>
      <c r="AE95" s="150" t="s">
        <v>132</v>
      </c>
      <c r="AF95" s="150" t="s">
        <v>132</v>
      </c>
      <c r="AG95" s="150" t="s">
        <v>132</v>
      </c>
      <c r="AH95" s="150" t="s">
        <v>132</v>
      </c>
      <c r="AI95" s="150" t="s">
        <v>132</v>
      </c>
      <c r="AJ95" s="150" t="s">
        <v>132</v>
      </c>
      <c r="AK95" s="150" t="s">
        <v>132</v>
      </c>
      <c r="AL95" s="150" t="s">
        <v>132</v>
      </c>
      <c r="AM95" s="150" t="s">
        <v>132</v>
      </c>
      <c r="AN95" s="150" t="s">
        <v>132</v>
      </c>
      <c r="AO95" s="150" t="s">
        <v>132</v>
      </c>
      <c r="AP95" s="150" t="s">
        <v>132</v>
      </c>
      <c r="AQ95" s="150" t="s">
        <v>132</v>
      </c>
      <c r="AR95" s="150" t="s">
        <v>132</v>
      </c>
      <c r="AS95" s="150" t="s">
        <v>132</v>
      </c>
      <c r="AT95" s="150" t="s">
        <v>132</v>
      </c>
      <c r="AU95" s="150" t="s">
        <v>132</v>
      </c>
      <c r="AV95" s="150" t="s">
        <v>132</v>
      </c>
      <c r="AW95" s="150" t="s">
        <v>132</v>
      </c>
      <c r="AX95" s="150" t="s">
        <v>132</v>
      </c>
      <c r="AY95" s="150" t="s">
        <v>132</v>
      </c>
      <c r="AZ95" s="150" t="s">
        <v>132</v>
      </c>
      <c r="BA95" s="150" t="s">
        <v>132</v>
      </c>
      <c r="BB95" s="150" t="s">
        <v>132</v>
      </c>
      <c r="BC95" s="150" t="s">
        <v>132</v>
      </c>
      <c r="BD95" s="150" t="s">
        <v>132</v>
      </c>
      <c r="BE95" s="150" t="s">
        <v>132</v>
      </c>
      <c r="BF95" s="150" t="s">
        <v>132</v>
      </c>
      <c r="BG95" s="150" t="s">
        <v>132</v>
      </c>
      <c r="BH95" s="150" t="s">
        <v>132</v>
      </c>
      <c r="BI95" s="150" t="s">
        <v>132</v>
      </c>
      <c r="BJ95" s="150" t="s">
        <v>132</v>
      </c>
      <c r="BK95" s="150" t="s">
        <v>132</v>
      </c>
      <c r="BL95" s="150" t="s">
        <v>132</v>
      </c>
      <c r="BM95" s="150" t="s">
        <v>132</v>
      </c>
      <c r="BN95" s="150" t="s">
        <v>132</v>
      </c>
      <c r="BO95" s="150" t="s">
        <v>132</v>
      </c>
      <c r="BP95" s="150" t="s">
        <v>132</v>
      </c>
      <c r="BQ95" s="150" t="s">
        <v>132</v>
      </c>
      <c r="BR95" s="150" t="s">
        <v>132</v>
      </c>
      <c r="BS95" s="150" t="s">
        <v>132</v>
      </c>
      <c r="BT95" s="150" t="s">
        <v>132</v>
      </c>
      <c r="BU95" s="150" t="s">
        <v>132</v>
      </c>
      <c r="BV95" s="150" t="s">
        <v>132</v>
      </c>
      <c r="BW95" s="150" t="s">
        <v>132</v>
      </c>
      <c r="BX95" s="150" t="s">
        <v>132</v>
      </c>
      <c r="BY95" s="150" t="s">
        <v>132</v>
      </c>
      <c r="BZ95" s="150" t="s">
        <v>132</v>
      </c>
      <c r="CA95" s="150" t="s">
        <v>132</v>
      </c>
      <c r="CB95" s="150" t="s">
        <v>132</v>
      </c>
      <c r="CC95" s="190" t="s">
        <v>132</v>
      </c>
      <c r="CD95" s="190" t="s">
        <v>132</v>
      </c>
      <c r="CE95" s="190" t="s">
        <v>132</v>
      </c>
      <c r="CF95" s="190" t="s">
        <v>132</v>
      </c>
      <c r="CG95" s="190" t="s">
        <v>132</v>
      </c>
      <c r="CH95" s="190" t="s">
        <v>132</v>
      </c>
      <c r="CI95" s="190" t="s">
        <v>132</v>
      </c>
      <c r="CJ95" s="190" t="s">
        <v>132</v>
      </c>
      <c r="CK95" s="190" t="s">
        <v>132</v>
      </c>
      <c r="CL95" s="190" t="s">
        <v>132</v>
      </c>
      <c r="CM95" s="190" t="s">
        <v>132</v>
      </c>
      <c r="CN95" s="190" t="s">
        <v>132</v>
      </c>
      <c r="CO95" s="190" t="s">
        <v>132</v>
      </c>
      <c r="CP95" s="190" t="s">
        <v>132</v>
      </c>
      <c r="CQ95" s="190" t="s">
        <v>132</v>
      </c>
      <c r="CR95" s="190" t="s">
        <v>132</v>
      </c>
      <c r="CS95" s="190" t="s">
        <v>132</v>
      </c>
      <c r="CT95" s="190" t="s">
        <v>132</v>
      </c>
      <c r="CU95" s="190" t="s">
        <v>132</v>
      </c>
      <c r="CV95" s="190" t="s">
        <v>132</v>
      </c>
      <c r="CW95" s="190" t="s">
        <v>132</v>
      </c>
      <c r="CX95" s="190" t="s">
        <v>132</v>
      </c>
      <c r="CY95" s="190" t="s">
        <v>132</v>
      </c>
      <c r="CZ95" s="190" t="s">
        <v>132</v>
      </c>
      <c r="DA95" s="190" t="s">
        <v>132</v>
      </c>
      <c r="DB95" s="190" t="s">
        <v>132</v>
      </c>
      <c r="DC95" s="190" t="s">
        <v>132</v>
      </c>
      <c r="DD95" s="190" t="s">
        <v>132</v>
      </c>
      <c r="DE95" s="190" t="s">
        <v>132</v>
      </c>
      <c r="DF95" s="190" t="s">
        <v>132</v>
      </c>
      <c r="DG95" s="190" t="s">
        <v>132</v>
      </c>
      <c r="DH95" s="190" t="s">
        <v>132</v>
      </c>
    </row>
    <row r="96" spans="1:112">
      <c r="A96" s="150" t="s">
        <v>150</v>
      </c>
      <c r="B96" s="150">
        <v>4</v>
      </c>
      <c r="C96" s="150">
        <v>4</v>
      </c>
      <c r="D96" s="150" t="s">
        <v>233</v>
      </c>
      <c r="E96" s="150" t="s">
        <v>229</v>
      </c>
      <c r="F96" s="150">
        <v>7</v>
      </c>
      <c r="G96" s="150" t="s">
        <v>235</v>
      </c>
      <c r="H96" s="150" t="s">
        <v>136</v>
      </c>
      <c r="I96" s="150" t="s">
        <v>132</v>
      </c>
      <c r="J96" s="150" t="s">
        <v>132</v>
      </c>
      <c r="K96" s="150" t="s">
        <v>132</v>
      </c>
      <c r="L96" s="150" t="s">
        <v>132</v>
      </c>
      <c r="M96" s="150">
        <v>16.3</v>
      </c>
      <c r="N96" s="150">
        <v>58.1</v>
      </c>
      <c r="O96" s="150">
        <f>M96/10</f>
        <v>1.6300000000000001</v>
      </c>
      <c r="P96" s="150">
        <f>N96/10</f>
        <v>5.8100000000000005</v>
      </c>
      <c r="Q96" s="150" t="s">
        <v>132</v>
      </c>
      <c r="R96" s="150" t="s">
        <v>132</v>
      </c>
      <c r="S96" s="150" t="s">
        <v>132</v>
      </c>
      <c r="T96" s="150" t="s">
        <v>132</v>
      </c>
      <c r="U96" s="150" t="s">
        <v>132</v>
      </c>
      <c r="V96" s="150" t="s">
        <v>132</v>
      </c>
      <c r="W96" s="150" t="s">
        <v>132</v>
      </c>
      <c r="X96" s="150" t="s">
        <v>132</v>
      </c>
      <c r="Y96" s="150" t="s">
        <v>132</v>
      </c>
      <c r="Z96" s="150" t="s">
        <v>132</v>
      </c>
      <c r="AA96" s="150" t="s">
        <v>132</v>
      </c>
      <c r="AB96" s="150" t="s">
        <v>132</v>
      </c>
      <c r="AC96" s="150" t="s">
        <v>132</v>
      </c>
      <c r="AD96" s="150" t="s">
        <v>132</v>
      </c>
      <c r="AE96" s="150" t="s">
        <v>132</v>
      </c>
      <c r="AF96" s="150" t="s">
        <v>132</v>
      </c>
      <c r="AG96" s="150" t="s">
        <v>132</v>
      </c>
      <c r="AH96" s="150" t="s">
        <v>132</v>
      </c>
      <c r="AI96" s="150" t="s">
        <v>132</v>
      </c>
      <c r="AJ96" s="150" t="s">
        <v>132</v>
      </c>
      <c r="AK96" s="150" t="s">
        <v>132</v>
      </c>
      <c r="AL96" s="150" t="s">
        <v>132</v>
      </c>
      <c r="AM96" s="150" t="s">
        <v>132</v>
      </c>
      <c r="AN96" s="150" t="s">
        <v>132</v>
      </c>
      <c r="AO96" s="150" t="s">
        <v>132</v>
      </c>
      <c r="AP96" s="150" t="s">
        <v>132</v>
      </c>
      <c r="AQ96" s="150" t="s">
        <v>132</v>
      </c>
      <c r="AR96" s="150" t="s">
        <v>132</v>
      </c>
      <c r="AS96" s="150" t="s">
        <v>132</v>
      </c>
      <c r="AT96" s="150" t="s">
        <v>132</v>
      </c>
      <c r="AU96" s="150" t="s">
        <v>132</v>
      </c>
      <c r="AV96" s="150" t="s">
        <v>132</v>
      </c>
      <c r="AW96" s="150" t="s">
        <v>132</v>
      </c>
      <c r="AX96" s="150" t="s">
        <v>132</v>
      </c>
      <c r="AY96" s="150" t="s">
        <v>132</v>
      </c>
      <c r="AZ96" s="150" t="s">
        <v>132</v>
      </c>
      <c r="BA96" s="150" t="s">
        <v>132</v>
      </c>
      <c r="BB96" s="150" t="s">
        <v>132</v>
      </c>
      <c r="BC96" s="150" t="s">
        <v>132</v>
      </c>
      <c r="BD96" s="150" t="s">
        <v>132</v>
      </c>
      <c r="BE96" s="150" t="s">
        <v>132</v>
      </c>
      <c r="BF96" s="150" t="s">
        <v>132</v>
      </c>
      <c r="BG96" s="150" t="s">
        <v>132</v>
      </c>
      <c r="BH96" s="150" t="s">
        <v>132</v>
      </c>
      <c r="BI96" s="150" t="s">
        <v>132</v>
      </c>
      <c r="BJ96" s="150" t="s">
        <v>132</v>
      </c>
      <c r="BK96" s="150" t="s">
        <v>132</v>
      </c>
      <c r="BL96" s="150" t="s">
        <v>132</v>
      </c>
      <c r="BM96" s="150" t="s">
        <v>132</v>
      </c>
      <c r="BN96" s="150" t="s">
        <v>132</v>
      </c>
      <c r="BO96" s="150" t="s">
        <v>132</v>
      </c>
      <c r="BP96" s="150" t="s">
        <v>132</v>
      </c>
      <c r="BQ96" s="150" t="s">
        <v>132</v>
      </c>
      <c r="BR96" s="150" t="s">
        <v>132</v>
      </c>
      <c r="BS96" s="150" t="s">
        <v>132</v>
      </c>
      <c r="BT96" s="150" t="s">
        <v>132</v>
      </c>
      <c r="BU96" s="150" t="s">
        <v>132</v>
      </c>
      <c r="BV96" s="150" t="s">
        <v>132</v>
      </c>
      <c r="BW96" s="150" t="s">
        <v>132</v>
      </c>
      <c r="BX96" s="150" t="s">
        <v>132</v>
      </c>
      <c r="BY96" s="150" t="s">
        <v>132</v>
      </c>
      <c r="BZ96" s="150" t="s">
        <v>132</v>
      </c>
      <c r="CA96" s="150" t="s">
        <v>132</v>
      </c>
      <c r="CB96" s="150" t="s">
        <v>132</v>
      </c>
      <c r="CC96" s="190" t="s">
        <v>132</v>
      </c>
      <c r="CD96" s="190" t="s">
        <v>132</v>
      </c>
      <c r="CE96" s="190" t="s">
        <v>132</v>
      </c>
      <c r="CF96" s="190" t="s">
        <v>132</v>
      </c>
      <c r="CG96" s="190" t="s">
        <v>132</v>
      </c>
      <c r="CH96" s="190" t="s">
        <v>132</v>
      </c>
      <c r="CI96" s="190" t="s">
        <v>132</v>
      </c>
      <c r="CJ96" s="190" t="s">
        <v>132</v>
      </c>
      <c r="CK96" s="190" t="s">
        <v>132</v>
      </c>
      <c r="CL96" s="190" t="s">
        <v>132</v>
      </c>
      <c r="CM96" s="190" t="s">
        <v>132</v>
      </c>
      <c r="CN96" s="190" t="s">
        <v>132</v>
      </c>
      <c r="CO96" s="190" t="s">
        <v>132</v>
      </c>
      <c r="CP96" s="190" t="s">
        <v>132</v>
      </c>
      <c r="CQ96" s="190" t="s">
        <v>132</v>
      </c>
      <c r="CR96" s="190" t="s">
        <v>132</v>
      </c>
      <c r="CS96" s="190" t="s">
        <v>132</v>
      </c>
      <c r="CT96" s="190" t="s">
        <v>132</v>
      </c>
      <c r="CU96" s="190" t="s">
        <v>132</v>
      </c>
      <c r="CV96" s="190" t="s">
        <v>132</v>
      </c>
      <c r="CW96" s="190" t="s">
        <v>132</v>
      </c>
      <c r="CX96" s="190" t="s">
        <v>132</v>
      </c>
      <c r="CY96" s="190" t="s">
        <v>132</v>
      </c>
      <c r="CZ96" s="190" t="s">
        <v>132</v>
      </c>
      <c r="DA96" s="190" t="s">
        <v>132</v>
      </c>
      <c r="DB96" s="190" t="s">
        <v>132</v>
      </c>
      <c r="DC96" s="190" t="s">
        <v>132</v>
      </c>
      <c r="DD96" s="190" t="s">
        <v>132</v>
      </c>
      <c r="DE96" s="190" t="s">
        <v>132</v>
      </c>
      <c r="DF96" s="190" t="s">
        <v>132</v>
      </c>
      <c r="DG96" s="190" t="s">
        <v>132</v>
      </c>
      <c r="DH96" s="190" t="s">
        <v>132</v>
      </c>
    </row>
    <row r="97" spans="1:112">
      <c r="A97" s="150" t="s">
        <v>150</v>
      </c>
      <c r="B97" s="150">
        <v>4</v>
      </c>
      <c r="C97" s="150">
        <v>4</v>
      </c>
      <c r="D97" s="150" t="s">
        <v>233</v>
      </c>
      <c r="E97" s="150" t="s">
        <v>228</v>
      </c>
      <c r="F97" s="150">
        <v>14</v>
      </c>
      <c r="G97" s="150" t="s">
        <v>235</v>
      </c>
      <c r="H97" s="150" t="s">
        <v>136</v>
      </c>
      <c r="I97" s="150" t="s">
        <v>132</v>
      </c>
      <c r="J97" s="150" t="s">
        <v>132</v>
      </c>
      <c r="K97" s="150" t="s">
        <v>132</v>
      </c>
      <c r="L97" s="150" t="s">
        <v>132</v>
      </c>
      <c r="M97" s="150">
        <v>6.7</v>
      </c>
      <c r="N97" s="150">
        <v>65.7</v>
      </c>
      <c r="O97" s="150">
        <f t="shared" ref="O97:O99" si="4">M97/10</f>
        <v>0.67</v>
      </c>
      <c r="P97" s="150">
        <f t="shared" ref="P97:P99" si="5">N97/10</f>
        <v>6.57</v>
      </c>
      <c r="Q97" s="150" t="s">
        <v>132</v>
      </c>
      <c r="R97" s="150" t="s">
        <v>132</v>
      </c>
      <c r="S97" s="150" t="s">
        <v>132</v>
      </c>
      <c r="T97" s="150" t="s">
        <v>132</v>
      </c>
      <c r="U97" s="150" t="s">
        <v>132</v>
      </c>
      <c r="V97" s="150" t="s">
        <v>132</v>
      </c>
      <c r="W97" s="150" t="s">
        <v>132</v>
      </c>
      <c r="X97" s="150" t="s">
        <v>132</v>
      </c>
      <c r="Y97" s="150" t="s">
        <v>132</v>
      </c>
      <c r="Z97" s="150" t="s">
        <v>132</v>
      </c>
      <c r="AA97" s="150" t="s">
        <v>132</v>
      </c>
      <c r="AB97" s="150" t="s">
        <v>132</v>
      </c>
      <c r="AC97" s="150" t="s">
        <v>132</v>
      </c>
      <c r="AD97" s="150" t="s">
        <v>132</v>
      </c>
      <c r="AE97" s="150" t="s">
        <v>132</v>
      </c>
      <c r="AF97" s="150" t="s">
        <v>132</v>
      </c>
      <c r="AG97" s="150" t="s">
        <v>132</v>
      </c>
      <c r="AH97" s="150" t="s">
        <v>132</v>
      </c>
      <c r="AI97" s="150" t="s">
        <v>132</v>
      </c>
      <c r="AJ97" s="150" t="s">
        <v>132</v>
      </c>
      <c r="AK97" s="150" t="s">
        <v>132</v>
      </c>
      <c r="AL97" s="150" t="s">
        <v>132</v>
      </c>
      <c r="AM97" s="150" t="s">
        <v>132</v>
      </c>
      <c r="AN97" s="150" t="s">
        <v>132</v>
      </c>
      <c r="AO97" s="150" t="s">
        <v>132</v>
      </c>
      <c r="AP97" s="150" t="s">
        <v>132</v>
      </c>
      <c r="AQ97" s="150" t="s">
        <v>132</v>
      </c>
      <c r="AR97" s="150" t="s">
        <v>132</v>
      </c>
      <c r="AS97" s="150" t="s">
        <v>132</v>
      </c>
      <c r="AT97" s="150" t="s">
        <v>132</v>
      </c>
      <c r="AU97" s="150" t="s">
        <v>132</v>
      </c>
      <c r="AV97" s="150" t="s">
        <v>132</v>
      </c>
      <c r="AW97" s="150" t="s">
        <v>132</v>
      </c>
      <c r="AX97" s="150" t="s">
        <v>132</v>
      </c>
      <c r="AY97" s="150" t="s">
        <v>132</v>
      </c>
      <c r="AZ97" s="150" t="s">
        <v>132</v>
      </c>
      <c r="BA97" s="150" t="s">
        <v>132</v>
      </c>
      <c r="BB97" s="150" t="s">
        <v>132</v>
      </c>
      <c r="BC97" s="150" t="s">
        <v>132</v>
      </c>
      <c r="BD97" s="150" t="s">
        <v>132</v>
      </c>
      <c r="BE97" s="150" t="s">
        <v>132</v>
      </c>
      <c r="BF97" s="150" t="s">
        <v>132</v>
      </c>
      <c r="BG97" s="150" t="s">
        <v>132</v>
      </c>
      <c r="BH97" s="150" t="s">
        <v>132</v>
      </c>
      <c r="BI97" s="150" t="s">
        <v>132</v>
      </c>
      <c r="BJ97" s="150" t="s">
        <v>132</v>
      </c>
      <c r="BK97" s="150" t="s">
        <v>132</v>
      </c>
      <c r="BL97" s="150" t="s">
        <v>132</v>
      </c>
      <c r="BM97" s="150" t="s">
        <v>132</v>
      </c>
      <c r="BN97" s="150" t="s">
        <v>132</v>
      </c>
      <c r="BO97" s="150" t="s">
        <v>132</v>
      </c>
      <c r="BP97" s="150" t="s">
        <v>132</v>
      </c>
      <c r="BQ97" s="150" t="s">
        <v>132</v>
      </c>
      <c r="BR97" s="150" t="s">
        <v>132</v>
      </c>
      <c r="BS97" s="150" t="s">
        <v>132</v>
      </c>
      <c r="BT97" s="150" t="s">
        <v>132</v>
      </c>
      <c r="BU97" s="150" t="s">
        <v>132</v>
      </c>
      <c r="BV97" s="150" t="s">
        <v>132</v>
      </c>
      <c r="BW97" s="150" t="s">
        <v>132</v>
      </c>
      <c r="BX97" s="150" t="s">
        <v>132</v>
      </c>
      <c r="BY97" s="150" t="s">
        <v>132</v>
      </c>
      <c r="BZ97" s="150" t="s">
        <v>132</v>
      </c>
      <c r="CA97" s="150" t="s">
        <v>132</v>
      </c>
      <c r="CB97" s="150" t="s">
        <v>132</v>
      </c>
      <c r="CC97" s="190" t="s">
        <v>132</v>
      </c>
      <c r="CD97" s="190" t="s">
        <v>132</v>
      </c>
      <c r="CE97" s="190" t="s">
        <v>132</v>
      </c>
      <c r="CF97" s="190" t="s">
        <v>132</v>
      </c>
      <c r="CG97" s="190" t="s">
        <v>132</v>
      </c>
      <c r="CH97" s="190" t="s">
        <v>132</v>
      </c>
      <c r="CI97" s="190" t="s">
        <v>132</v>
      </c>
      <c r="CJ97" s="190" t="s">
        <v>132</v>
      </c>
      <c r="CK97" s="190" t="s">
        <v>132</v>
      </c>
      <c r="CL97" s="190" t="s">
        <v>132</v>
      </c>
      <c r="CM97" s="190" t="s">
        <v>132</v>
      </c>
      <c r="CN97" s="190" t="s">
        <v>132</v>
      </c>
      <c r="CO97" s="190" t="s">
        <v>132</v>
      </c>
      <c r="CP97" s="190" t="s">
        <v>132</v>
      </c>
      <c r="CQ97" s="190" t="s">
        <v>132</v>
      </c>
      <c r="CR97" s="190" t="s">
        <v>132</v>
      </c>
      <c r="CS97" s="190" t="s">
        <v>132</v>
      </c>
      <c r="CT97" s="190" t="s">
        <v>132</v>
      </c>
      <c r="CU97" s="190" t="s">
        <v>132</v>
      </c>
      <c r="CV97" s="190" t="s">
        <v>132</v>
      </c>
      <c r="CW97" s="190" t="s">
        <v>132</v>
      </c>
      <c r="CX97" s="190" t="s">
        <v>132</v>
      </c>
      <c r="CY97" s="190" t="s">
        <v>132</v>
      </c>
      <c r="CZ97" s="190" t="s">
        <v>132</v>
      </c>
      <c r="DA97" s="190" t="s">
        <v>132</v>
      </c>
      <c r="DB97" s="190" t="s">
        <v>132</v>
      </c>
      <c r="DC97" s="190" t="s">
        <v>132</v>
      </c>
      <c r="DD97" s="190" t="s">
        <v>132</v>
      </c>
      <c r="DE97" s="190" t="s">
        <v>132</v>
      </c>
      <c r="DF97" s="190" t="s">
        <v>132</v>
      </c>
      <c r="DG97" s="190" t="s">
        <v>132</v>
      </c>
      <c r="DH97" s="190" t="s">
        <v>132</v>
      </c>
    </row>
    <row r="98" spans="1:112">
      <c r="A98" s="150" t="s">
        <v>150</v>
      </c>
      <c r="B98" s="150">
        <v>4</v>
      </c>
      <c r="C98" s="150">
        <v>4</v>
      </c>
      <c r="D98" s="150" t="s">
        <v>233</v>
      </c>
      <c r="E98" s="150" t="s">
        <v>230</v>
      </c>
      <c r="F98" s="150">
        <v>21</v>
      </c>
      <c r="G98" s="150" t="s">
        <v>235</v>
      </c>
      <c r="H98" s="150" t="s">
        <v>136</v>
      </c>
      <c r="I98" s="150" t="s">
        <v>132</v>
      </c>
      <c r="J98" s="150" t="s">
        <v>132</v>
      </c>
      <c r="K98" s="150" t="s">
        <v>132</v>
      </c>
      <c r="L98" s="150" t="s">
        <v>132</v>
      </c>
      <c r="M98" s="150">
        <v>29</v>
      </c>
      <c r="N98" s="150">
        <v>93.3</v>
      </c>
      <c r="O98" s="150">
        <f t="shared" si="4"/>
        <v>2.9</v>
      </c>
      <c r="P98" s="150">
        <f t="shared" si="5"/>
        <v>9.33</v>
      </c>
      <c r="Q98" s="150" t="s">
        <v>132</v>
      </c>
      <c r="R98" s="150" t="s">
        <v>132</v>
      </c>
      <c r="S98" s="150" t="s">
        <v>132</v>
      </c>
      <c r="T98" s="150" t="s">
        <v>132</v>
      </c>
      <c r="U98" s="150" t="s">
        <v>132</v>
      </c>
      <c r="V98" s="150" t="s">
        <v>132</v>
      </c>
      <c r="W98" s="150" t="s">
        <v>132</v>
      </c>
      <c r="X98" s="150" t="s">
        <v>132</v>
      </c>
      <c r="Y98" s="150" t="s">
        <v>132</v>
      </c>
      <c r="Z98" s="150" t="s">
        <v>132</v>
      </c>
      <c r="AA98" s="150" t="s">
        <v>132</v>
      </c>
      <c r="AB98" s="150" t="s">
        <v>132</v>
      </c>
      <c r="AC98" s="150" t="s">
        <v>132</v>
      </c>
      <c r="AD98" s="150" t="s">
        <v>132</v>
      </c>
      <c r="AE98" s="150" t="s">
        <v>132</v>
      </c>
      <c r="AF98" s="150" t="s">
        <v>132</v>
      </c>
      <c r="AG98" s="150" t="s">
        <v>132</v>
      </c>
      <c r="AH98" s="150" t="s">
        <v>132</v>
      </c>
      <c r="AI98" s="150" t="s">
        <v>132</v>
      </c>
      <c r="AJ98" s="150" t="s">
        <v>132</v>
      </c>
      <c r="AK98" s="150" t="s">
        <v>132</v>
      </c>
      <c r="AL98" s="150" t="s">
        <v>132</v>
      </c>
      <c r="AM98" s="150" t="s">
        <v>132</v>
      </c>
      <c r="AN98" s="150" t="s">
        <v>132</v>
      </c>
      <c r="AO98" s="150" t="s">
        <v>132</v>
      </c>
      <c r="AP98" s="150" t="s">
        <v>132</v>
      </c>
      <c r="AQ98" s="150" t="s">
        <v>132</v>
      </c>
      <c r="AR98" s="150" t="s">
        <v>132</v>
      </c>
      <c r="AS98" s="150" t="s">
        <v>132</v>
      </c>
      <c r="AT98" s="150" t="s">
        <v>132</v>
      </c>
      <c r="AU98" s="150" t="s">
        <v>132</v>
      </c>
      <c r="AV98" s="150" t="s">
        <v>132</v>
      </c>
      <c r="AW98" s="150" t="s">
        <v>132</v>
      </c>
      <c r="AX98" s="150" t="s">
        <v>132</v>
      </c>
      <c r="AY98" s="150" t="s">
        <v>132</v>
      </c>
      <c r="AZ98" s="150" t="s">
        <v>132</v>
      </c>
      <c r="BA98" s="150" t="s">
        <v>132</v>
      </c>
      <c r="BB98" s="150" t="s">
        <v>132</v>
      </c>
      <c r="BC98" s="150" t="s">
        <v>132</v>
      </c>
      <c r="BD98" s="150" t="s">
        <v>132</v>
      </c>
      <c r="BE98" s="150" t="s">
        <v>132</v>
      </c>
      <c r="BF98" s="150" t="s">
        <v>132</v>
      </c>
      <c r="BG98" s="150" t="s">
        <v>132</v>
      </c>
      <c r="BH98" s="150" t="s">
        <v>132</v>
      </c>
      <c r="BI98" s="150" t="s">
        <v>132</v>
      </c>
      <c r="BJ98" s="150" t="s">
        <v>132</v>
      </c>
      <c r="BK98" s="150" t="s">
        <v>132</v>
      </c>
      <c r="BL98" s="150" t="s">
        <v>132</v>
      </c>
      <c r="BM98" s="150" t="s">
        <v>132</v>
      </c>
      <c r="BN98" s="150" t="s">
        <v>132</v>
      </c>
      <c r="BO98" s="150" t="s">
        <v>132</v>
      </c>
      <c r="BP98" s="150" t="s">
        <v>132</v>
      </c>
      <c r="BQ98" s="150" t="s">
        <v>132</v>
      </c>
      <c r="BR98" s="150" t="s">
        <v>132</v>
      </c>
      <c r="BS98" s="150" t="s">
        <v>132</v>
      </c>
      <c r="BT98" s="150" t="s">
        <v>132</v>
      </c>
      <c r="BU98" s="150" t="s">
        <v>132</v>
      </c>
      <c r="BV98" s="150" t="s">
        <v>132</v>
      </c>
      <c r="BW98" s="150" t="s">
        <v>132</v>
      </c>
      <c r="BX98" s="150" t="s">
        <v>132</v>
      </c>
      <c r="BY98" s="150" t="s">
        <v>132</v>
      </c>
      <c r="BZ98" s="150" t="s">
        <v>132</v>
      </c>
      <c r="CA98" s="150" t="s">
        <v>132</v>
      </c>
      <c r="CB98" s="150" t="s">
        <v>132</v>
      </c>
      <c r="CC98" s="190" t="s">
        <v>132</v>
      </c>
      <c r="CD98" s="190" t="s">
        <v>132</v>
      </c>
      <c r="CE98" s="190" t="s">
        <v>132</v>
      </c>
      <c r="CF98" s="190" t="s">
        <v>132</v>
      </c>
      <c r="CG98" s="190" t="s">
        <v>132</v>
      </c>
      <c r="CH98" s="190" t="s">
        <v>132</v>
      </c>
      <c r="CI98" s="190" t="s">
        <v>132</v>
      </c>
      <c r="CJ98" s="190" t="s">
        <v>132</v>
      </c>
      <c r="CK98" s="190" t="s">
        <v>132</v>
      </c>
      <c r="CL98" s="190" t="s">
        <v>132</v>
      </c>
      <c r="CM98" s="190" t="s">
        <v>132</v>
      </c>
      <c r="CN98" s="190" t="s">
        <v>132</v>
      </c>
      <c r="CO98" s="190" t="s">
        <v>132</v>
      </c>
      <c r="CP98" s="190" t="s">
        <v>132</v>
      </c>
      <c r="CQ98" s="190" t="s">
        <v>132</v>
      </c>
      <c r="CR98" s="190" t="s">
        <v>132</v>
      </c>
      <c r="CS98" s="190" t="s">
        <v>132</v>
      </c>
      <c r="CT98" s="190" t="s">
        <v>132</v>
      </c>
      <c r="CU98" s="190" t="s">
        <v>132</v>
      </c>
      <c r="CV98" s="190" t="s">
        <v>132</v>
      </c>
      <c r="CW98" s="190" t="s">
        <v>132</v>
      </c>
      <c r="CX98" s="190" t="s">
        <v>132</v>
      </c>
      <c r="CY98" s="190" t="s">
        <v>132</v>
      </c>
      <c r="CZ98" s="190" t="s">
        <v>132</v>
      </c>
      <c r="DA98" s="190" t="s">
        <v>132</v>
      </c>
      <c r="DB98" s="190" t="s">
        <v>132</v>
      </c>
      <c r="DC98" s="190" t="s">
        <v>132</v>
      </c>
      <c r="DD98" s="190" t="s">
        <v>132</v>
      </c>
      <c r="DE98" s="190" t="s">
        <v>132</v>
      </c>
      <c r="DF98" s="190" t="s">
        <v>132</v>
      </c>
      <c r="DG98" s="190" t="s">
        <v>132</v>
      </c>
      <c r="DH98" s="190" t="s">
        <v>132</v>
      </c>
    </row>
    <row r="99" spans="1:112">
      <c r="A99" s="150" t="s">
        <v>151</v>
      </c>
      <c r="B99" s="150">
        <v>10</v>
      </c>
      <c r="C99" s="150">
        <v>10</v>
      </c>
      <c r="D99" s="150" t="s">
        <v>231</v>
      </c>
      <c r="E99" s="150" t="s">
        <v>231</v>
      </c>
      <c r="F99" s="150">
        <v>84</v>
      </c>
      <c r="G99" s="150" t="s">
        <v>235</v>
      </c>
      <c r="H99" s="150" t="s">
        <v>136</v>
      </c>
      <c r="I99" s="150" t="s">
        <v>132</v>
      </c>
      <c r="J99" s="150" t="s">
        <v>132</v>
      </c>
      <c r="K99" s="150" t="s">
        <v>132</v>
      </c>
      <c r="L99" s="150" t="s">
        <v>132</v>
      </c>
      <c r="M99" s="150">
        <v>0</v>
      </c>
      <c r="N99" s="150">
        <v>28</v>
      </c>
      <c r="O99" s="150">
        <f t="shared" si="4"/>
        <v>0</v>
      </c>
      <c r="P99" s="150">
        <f t="shared" si="5"/>
        <v>2.8</v>
      </c>
      <c r="Q99" s="150" t="s">
        <v>132</v>
      </c>
      <c r="R99" s="150" t="s">
        <v>132</v>
      </c>
      <c r="S99" s="150" t="s">
        <v>132</v>
      </c>
      <c r="T99" s="150" t="s">
        <v>132</v>
      </c>
      <c r="U99" s="150" t="s">
        <v>132</v>
      </c>
      <c r="V99" s="150" t="s">
        <v>132</v>
      </c>
      <c r="W99" s="150" t="s">
        <v>132</v>
      </c>
      <c r="X99" s="150" t="s">
        <v>132</v>
      </c>
      <c r="Y99" s="150" t="s">
        <v>132</v>
      </c>
      <c r="Z99" s="150" t="s">
        <v>132</v>
      </c>
      <c r="AA99" s="150" t="s">
        <v>132</v>
      </c>
      <c r="AB99" s="150" t="s">
        <v>132</v>
      </c>
      <c r="AC99" s="150" t="s">
        <v>132</v>
      </c>
      <c r="AD99" s="150" t="s">
        <v>132</v>
      </c>
      <c r="AE99" s="150" t="s">
        <v>132</v>
      </c>
      <c r="AF99" s="150" t="s">
        <v>132</v>
      </c>
      <c r="AG99" s="150" t="s">
        <v>132</v>
      </c>
      <c r="AH99" s="150" t="s">
        <v>132</v>
      </c>
      <c r="AI99" s="150" t="s">
        <v>132</v>
      </c>
      <c r="AJ99" s="150" t="s">
        <v>132</v>
      </c>
      <c r="AK99" s="150" t="s">
        <v>132</v>
      </c>
      <c r="AL99" s="150" t="s">
        <v>132</v>
      </c>
      <c r="AM99" s="150" t="s">
        <v>132</v>
      </c>
      <c r="AN99" s="150" t="s">
        <v>132</v>
      </c>
      <c r="AO99" s="150" t="s">
        <v>132</v>
      </c>
      <c r="AP99" s="150" t="s">
        <v>132</v>
      </c>
      <c r="AQ99" s="150" t="s">
        <v>132</v>
      </c>
      <c r="AR99" s="150" t="s">
        <v>132</v>
      </c>
      <c r="AS99" s="150" t="s">
        <v>132</v>
      </c>
      <c r="AT99" s="150" t="s">
        <v>132</v>
      </c>
      <c r="AU99" s="150" t="s">
        <v>132</v>
      </c>
      <c r="AV99" s="150" t="s">
        <v>132</v>
      </c>
      <c r="AW99" s="150" t="s">
        <v>132</v>
      </c>
      <c r="AX99" s="150" t="s">
        <v>132</v>
      </c>
      <c r="AY99" s="150" t="s">
        <v>132</v>
      </c>
      <c r="AZ99" s="150" t="s">
        <v>132</v>
      </c>
      <c r="BA99" s="150" t="s">
        <v>132</v>
      </c>
      <c r="BB99" s="150" t="s">
        <v>132</v>
      </c>
      <c r="BC99" s="150" t="s">
        <v>132</v>
      </c>
      <c r="BD99" s="150" t="s">
        <v>132</v>
      </c>
      <c r="BE99" s="150" t="s">
        <v>132</v>
      </c>
      <c r="BF99" s="150" t="s">
        <v>132</v>
      </c>
      <c r="BG99" s="150" t="s">
        <v>132</v>
      </c>
      <c r="BH99" s="150" t="s">
        <v>132</v>
      </c>
      <c r="BI99" s="150" t="s">
        <v>132</v>
      </c>
      <c r="BJ99" s="150" t="s">
        <v>132</v>
      </c>
      <c r="BK99" s="150" t="s">
        <v>132</v>
      </c>
      <c r="BL99" s="150" t="s">
        <v>132</v>
      </c>
      <c r="BM99" s="150" t="s">
        <v>132</v>
      </c>
      <c r="BN99" s="150" t="s">
        <v>132</v>
      </c>
      <c r="BO99" s="150" t="s">
        <v>132</v>
      </c>
      <c r="BP99" s="150" t="s">
        <v>132</v>
      </c>
      <c r="BQ99" s="150" t="s">
        <v>132</v>
      </c>
      <c r="BR99" s="150" t="s">
        <v>132</v>
      </c>
      <c r="BS99" s="150" t="s">
        <v>132</v>
      </c>
      <c r="BT99" s="150" t="s">
        <v>132</v>
      </c>
      <c r="BU99" s="150" t="s">
        <v>132</v>
      </c>
      <c r="BV99" s="150" t="s">
        <v>132</v>
      </c>
      <c r="BW99" s="150" t="s">
        <v>132</v>
      </c>
      <c r="BX99" s="150" t="s">
        <v>132</v>
      </c>
      <c r="BY99" s="150" t="s">
        <v>132</v>
      </c>
      <c r="BZ99" s="150" t="s">
        <v>132</v>
      </c>
      <c r="CA99" s="150" t="s">
        <v>132</v>
      </c>
      <c r="CB99" s="150" t="s">
        <v>132</v>
      </c>
      <c r="CC99" s="190" t="s">
        <v>132</v>
      </c>
      <c r="CD99" s="190" t="s">
        <v>132</v>
      </c>
      <c r="CE99" s="190" t="s">
        <v>132</v>
      </c>
      <c r="CF99" s="190" t="s">
        <v>132</v>
      </c>
      <c r="CG99" s="190" t="s">
        <v>132</v>
      </c>
      <c r="CH99" s="190" t="s">
        <v>132</v>
      </c>
      <c r="CI99" s="190" t="s">
        <v>132</v>
      </c>
      <c r="CJ99" s="190" t="s">
        <v>132</v>
      </c>
      <c r="CK99" s="190" t="s">
        <v>132</v>
      </c>
      <c r="CL99" s="190" t="s">
        <v>132</v>
      </c>
      <c r="CM99" s="190" t="s">
        <v>132</v>
      </c>
      <c r="CN99" s="190" t="s">
        <v>132</v>
      </c>
      <c r="CO99" s="190" t="s">
        <v>132</v>
      </c>
      <c r="CP99" s="190" t="s">
        <v>132</v>
      </c>
      <c r="CQ99" s="190" t="s">
        <v>132</v>
      </c>
      <c r="CR99" s="190" t="s">
        <v>132</v>
      </c>
      <c r="CS99" s="190" t="s">
        <v>132</v>
      </c>
      <c r="CT99" s="190" t="s">
        <v>132</v>
      </c>
      <c r="CU99" s="190" t="s">
        <v>132</v>
      </c>
      <c r="CV99" s="190" t="s">
        <v>132</v>
      </c>
      <c r="CW99" s="190" t="s">
        <v>132</v>
      </c>
      <c r="CX99" s="190" t="s">
        <v>132</v>
      </c>
      <c r="CY99" s="190" t="s">
        <v>132</v>
      </c>
      <c r="CZ99" s="190" t="s">
        <v>132</v>
      </c>
      <c r="DA99" s="190" t="s">
        <v>132</v>
      </c>
      <c r="DB99" s="190" t="s">
        <v>132</v>
      </c>
      <c r="DC99" s="190" t="s">
        <v>132</v>
      </c>
      <c r="DD99" s="190" t="s">
        <v>132</v>
      </c>
      <c r="DE99" s="190" t="s">
        <v>132</v>
      </c>
      <c r="DF99" s="190" t="s">
        <v>132</v>
      </c>
      <c r="DG99" s="190" t="s">
        <v>132</v>
      </c>
      <c r="DH99" s="190" t="s">
        <v>132</v>
      </c>
    </row>
    <row r="100" spans="1:112">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v>0</v>
      </c>
      <c r="N100" s="150">
        <v>52.3</v>
      </c>
      <c r="O100" s="150">
        <v>0</v>
      </c>
      <c r="P100" s="150">
        <v>8</v>
      </c>
      <c r="Q100" s="150">
        <v>2.82</v>
      </c>
      <c r="R100" s="150">
        <v>3.29</v>
      </c>
      <c r="S100" s="150">
        <f>Q100/10</f>
        <v>0.28199999999999997</v>
      </c>
      <c r="T100" s="150">
        <f>R100/10</f>
        <v>0.32900000000000001</v>
      </c>
      <c r="U100" s="150">
        <v>0.57999999999999996</v>
      </c>
      <c r="V100" s="150">
        <v>0.57999999999999996</v>
      </c>
      <c r="W100" s="150">
        <f>U100/10</f>
        <v>5.7999999999999996E-2</v>
      </c>
      <c r="X100" s="150">
        <f>V100/10</f>
        <v>5.7999999999999996E-2</v>
      </c>
      <c r="Y100" s="150" t="s">
        <v>132</v>
      </c>
      <c r="Z100" s="150" t="s">
        <v>132</v>
      </c>
      <c r="AA100" s="150" t="s">
        <v>132</v>
      </c>
      <c r="AB100" s="150" t="s">
        <v>132</v>
      </c>
      <c r="AC100" s="150" t="s">
        <v>132</v>
      </c>
      <c r="AD100" s="150" t="s">
        <v>132</v>
      </c>
      <c r="AE100" s="150" t="s">
        <v>132</v>
      </c>
      <c r="AF100" s="150" t="s">
        <v>132</v>
      </c>
      <c r="AG100" s="150" t="s">
        <v>132</v>
      </c>
      <c r="AH100" s="150" t="s">
        <v>132</v>
      </c>
      <c r="AI100" s="150" t="s">
        <v>132</v>
      </c>
      <c r="AJ100" s="150" t="s">
        <v>132</v>
      </c>
      <c r="AK100" s="150" t="s">
        <v>132</v>
      </c>
      <c r="AL100" s="150" t="s">
        <v>132</v>
      </c>
      <c r="AM100" s="150" t="s">
        <v>132</v>
      </c>
      <c r="AN100" s="150" t="s">
        <v>132</v>
      </c>
      <c r="AO100" s="150" t="s">
        <v>132</v>
      </c>
      <c r="AP100" s="150" t="s">
        <v>132</v>
      </c>
      <c r="AQ100" s="150" t="s">
        <v>132</v>
      </c>
      <c r="AR100" s="150" t="s">
        <v>132</v>
      </c>
      <c r="AS100" s="150" t="s">
        <v>132</v>
      </c>
      <c r="AT100" s="150" t="s">
        <v>132</v>
      </c>
      <c r="AU100" s="150" t="s">
        <v>132</v>
      </c>
      <c r="AV100" s="150" t="s">
        <v>132</v>
      </c>
      <c r="AW100" s="150" t="s">
        <v>132</v>
      </c>
      <c r="AX100" s="150" t="s">
        <v>132</v>
      </c>
      <c r="AY100" s="150" t="s">
        <v>132</v>
      </c>
      <c r="AZ100" s="150" t="s">
        <v>132</v>
      </c>
      <c r="BA100" s="150" t="s">
        <v>132</v>
      </c>
      <c r="BB100" s="150" t="s">
        <v>132</v>
      </c>
      <c r="BC100" s="150" t="s">
        <v>132</v>
      </c>
      <c r="BD100" s="150" t="s">
        <v>132</v>
      </c>
      <c r="BE100" s="150" t="s">
        <v>132</v>
      </c>
      <c r="BF100" s="150" t="s">
        <v>132</v>
      </c>
      <c r="BG100" s="150" t="s">
        <v>132</v>
      </c>
      <c r="BH100" s="150" t="s">
        <v>132</v>
      </c>
      <c r="BI100" s="150" t="s">
        <v>132</v>
      </c>
      <c r="BJ100" s="150" t="s">
        <v>132</v>
      </c>
      <c r="BK100" s="150" t="s">
        <v>132</v>
      </c>
      <c r="BL100" s="150" t="s">
        <v>132</v>
      </c>
      <c r="BM100" s="150" t="s">
        <v>132</v>
      </c>
      <c r="BN100" s="150" t="s">
        <v>132</v>
      </c>
      <c r="BO100" s="150" t="s">
        <v>132</v>
      </c>
      <c r="BP100" s="150" t="s">
        <v>132</v>
      </c>
      <c r="BQ100" s="150" t="s">
        <v>132</v>
      </c>
      <c r="BR100" s="150" t="s">
        <v>132</v>
      </c>
      <c r="BS100" s="150" t="s">
        <v>132</v>
      </c>
      <c r="BT100" s="150" t="s">
        <v>132</v>
      </c>
      <c r="BU100" s="150" t="s">
        <v>132</v>
      </c>
      <c r="BV100" s="150" t="s">
        <v>132</v>
      </c>
      <c r="BW100" s="150" t="s">
        <v>132</v>
      </c>
      <c r="BX100" s="150" t="s">
        <v>132</v>
      </c>
      <c r="BY100" s="150" t="s">
        <v>132</v>
      </c>
      <c r="BZ100" s="150" t="s">
        <v>132</v>
      </c>
      <c r="CA100" s="150" t="s">
        <v>132</v>
      </c>
      <c r="CB100" s="150" t="s">
        <v>132</v>
      </c>
      <c r="CC100" s="190" t="s">
        <v>132</v>
      </c>
      <c r="CD100" s="190" t="s">
        <v>132</v>
      </c>
      <c r="CE100" s="190" t="s">
        <v>132</v>
      </c>
      <c r="CF100" s="190" t="s">
        <v>132</v>
      </c>
      <c r="CG100" s="190" t="s">
        <v>132</v>
      </c>
      <c r="CH100" s="190" t="s">
        <v>132</v>
      </c>
      <c r="CI100" s="190" t="s">
        <v>132</v>
      </c>
      <c r="CJ100" s="190" t="s">
        <v>132</v>
      </c>
      <c r="CK100" s="190" t="s">
        <v>132</v>
      </c>
      <c r="CL100" s="190" t="s">
        <v>132</v>
      </c>
      <c r="CM100" s="190" t="s">
        <v>132</v>
      </c>
      <c r="CN100" s="190" t="s">
        <v>132</v>
      </c>
      <c r="CO100" s="190" t="s">
        <v>132</v>
      </c>
      <c r="CP100" s="190" t="s">
        <v>132</v>
      </c>
      <c r="CQ100" s="190" t="s">
        <v>132</v>
      </c>
      <c r="CR100" s="190" t="s">
        <v>132</v>
      </c>
      <c r="CS100" s="190" t="s">
        <v>132</v>
      </c>
      <c r="CT100" s="190" t="s">
        <v>132</v>
      </c>
      <c r="CU100" s="190" t="s">
        <v>132</v>
      </c>
      <c r="CV100" s="190" t="s">
        <v>132</v>
      </c>
      <c r="CW100" s="190" t="s">
        <v>132</v>
      </c>
      <c r="CX100" s="190" t="s">
        <v>132</v>
      </c>
      <c r="CY100" s="190" t="s">
        <v>132</v>
      </c>
      <c r="CZ100" s="190" t="s">
        <v>132</v>
      </c>
      <c r="DA100" s="190" t="s">
        <v>132</v>
      </c>
      <c r="DB100" s="190" t="s">
        <v>132</v>
      </c>
      <c r="DC100" s="190" t="s">
        <v>132</v>
      </c>
      <c r="DD100" s="190" t="s">
        <v>132</v>
      </c>
      <c r="DE100" s="190" t="s">
        <v>132</v>
      </c>
      <c r="DF100" s="190" t="s">
        <v>132</v>
      </c>
      <c r="DG100" s="190" t="s">
        <v>132</v>
      </c>
      <c r="DH100" s="190" t="s">
        <v>132</v>
      </c>
    </row>
    <row r="101" spans="1:112">
      <c r="Z101" s="152"/>
      <c r="AB101" s="152"/>
      <c r="AD101" s="152"/>
      <c r="AF101" s="152"/>
      <c r="AN101" s="152"/>
    </row>
    <row r="102" spans="1:112">
      <c r="Z102" s="152"/>
      <c r="AB102" s="152"/>
      <c r="AD102" s="152"/>
      <c r="AF102" s="152"/>
      <c r="AN102" s="152"/>
    </row>
    <row r="103" spans="1:112">
      <c r="Z103" s="152"/>
      <c r="AB103" s="152"/>
      <c r="AD103" s="152"/>
      <c r="AF103" s="152"/>
      <c r="AN103" s="152"/>
    </row>
    <row r="104" spans="1:112">
      <c r="Z104" s="152"/>
      <c r="AB104" s="152"/>
      <c r="AD104" s="152"/>
      <c r="AF104" s="152"/>
      <c r="AN104" s="152"/>
    </row>
    <row r="105" spans="1:112">
      <c r="Z105" s="152"/>
      <c r="AB105" s="152"/>
      <c r="AD105" s="152"/>
      <c r="AF105" s="152"/>
      <c r="AN105" s="152"/>
    </row>
    <row r="106" spans="1:112">
      <c r="O106" s="219">
        <v>3.7719999999999998</v>
      </c>
      <c r="P106" s="168">
        <v>1228</v>
      </c>
      <c r="AN106" s="152"/>
    </row>
    <row r="107" spans="1:112">
      <c r="E107" s="107">
        <v>1</v>
      </c>
      <c r="F107" s="171">
        <v>35.060501887354569</v>
      </c>
      <c r="O107" s="220">
        <v>19.898666670000001</v>
      </c>
      <c r="P107" s="168">
        <v>2380</v>
      </c>
      <c r="Z107" s="152"/>
      <c r="AB107" s="152"/>
      <c r="AD107" s="152"/>
      <c r="AF107" s="152"/>
      <c r="AN107" s="152"/>
    </row>
    <row r="108" spans="1:112">
      <c r="E108" s="107">
        <v>23</v>
      </c>
      <c r="F108" s="171">
        <v>346</v>
      </c>
      <c r="O108" s="220">
        <v>38.485333330000003</v>
      </c>
      <c r="P108" s="168">
        <v>4840</v>
      </c>
      <c r="Z108" s="152"/>
      <c r="AB108" s="152"/>
      <c r="AD108" s="152"/>
      <c r="AF108" s="152"/>
      <c r="AN108" s="152"/>
    </row>
    <row r="109" spans="1:112">
      <c r="E109" s="107">
        <v>48</v>
      </c>
      <c r="F109" s="171">
        <v>812</v>
      </c>
      <c r="O109" s="220">
        <v>53.463999999999999</v>
      </c>
      <c r="P109" s="168">
        <v>6040</v>
      </c>
      <c r="Z109" s="152"/>
      <c r="AB109" s="152"/>
      <c r="AD109" s="152"/>
      <c r="AF109" s="152"/>
      <c r="AN109" s="152"/>
    </row>
    <row r="110" spans="1:112">
      <c r="E110" s="107">
        <v>74</v>
      </c>
      <c r="F110" s="171">
        <v>1360</v>
      </c>
      <c r="O110" s="220">
        <v>76.424000000000007</v>
      </c>
      <c r="P110" s="168">
        <v>6640</v>
      </c>
      <c r="Z110" s="152"/>
      <c r="AB110" s="152"/>
      <c r="AD110" s="152"/>
      <c r="AF110" s="152"/>
      <c r="AN110" s="152"/>
    </row>
    <row r="111" spans="1:112">
      <c r="E111" s="107">
        <v>98</v>
      </c>
      <c r="F111" s="171">
        <v>2520</v>
      </c>
      <c r="Z111" s="152"/>
      <c r="AB111" s="152"/>
      <c r="AD111" s="152"/>
      <c r="AF111" s="152"/>
      <c r="AN111" s="152"/>
    </row>
    <row r="112" spans="1:112">
      <c r="Z112" s="152"/>
      <c r="AB112" s="152"/>
      <c r="AD112" s="152"/>
      <c r="AF112" s="152"/>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4"/>
  <sheetViews>
    <sheetView workbookViewId="0">
      <selection sqref="A1:G1048576"/>
    </sheetView>
  </sheetViews>
  <sheetFormatPr baseColWidth="10" defaultRowHeight="16"/>
  <cols>
    <col min="1" max="1" width="15.6640625" style="138" customWidth="1"/>
    <col min="2" max="2" width="5.83203125" style="139" bestFit="1" customWidth="1"/>
    <col min="3" max="3" width="5.1640625" style="139" customWidth="1"/>
    <col min="4" max="4" width="5.83203125" style="139" customWidth="1"/>
    <col min="5" max="5" width="6.6640625" style="140" customWidth="1"/>
    <col min="6" max="6" width="7.1640625" style="140" customWidth="1"/>
    <col min="7" max="7" width="6" style="140" customWidth="1"/>
  </cols>
  <sheetData>
    <row r="1" spans="1:7" ht="30">
      <c r="A1" s="143" t="s">
        <v>0</v>
      </c>
      <c r="B1" s="143" t="s">
        <v>173</v>
      </c>
      <c r="C1" s="143" t="s">
        <v>172</v>
      </c>
      <c r="D1" s="143" t="s">
        <v>171</v>
      </c>
      <c r="E1" s="147" t="s">
        <v>175</v>
      </c>
      <c r="F1" s="8" t="s">
        <v>176</v>
      </c>
      <c r="G1" s="8" t="s">
        <v>111</v>
      </c>
    </row>
    <row r="2" spans="1:7">
      <c r="A2" s="25" t="s">
        <v>206</v>
      </c>
      <c r="B2" s="27" t="s">
        <v>35</v>
      </c>
      <c r="C2" s="27" t="s">
        <v>60</v>
      </c>
      <c r="D2" s="27">
        <v>63</v>
      </c>
      <c r="E2" s="94">
        <v>22.5</v>
      </c>
      <c r="F2" s="94">
        <v>10.18224</v>
      </c>
      <c r="G2" s="27">
        <v>8</v>
      </c>
    </row>
    <row r="3" spans="1:7">
      <c r="A3" s="25" t="s">
        <v>206</v>
      </c>
      <c r="B3" s="27" t="s">
        <v>35</v>
      </c>
      <c r="C3" s="27" t="s">
        <v>60</v>
      </c>
      <c r="D3" s="27">
        <v>63</v>
      </c>
      <c r="E3" s="94">
        <v>29.5</v>
      </c>
      <c r="F3" s="94">
        <v>12.162119999999998</v>
      </c>
      <c r="G3" s="27">
        <v>8</v>
      </c>
    </row>
    <row r="4" spans="1:7">
      <c r="A4" s="25" t="s">
        <v>206</v>
      </c>
      <c r="B4" s="27" t="s">
        <v>35</v>
      </c>
      <c r="C4" s="27" t="s">
        <v>60</v>
      </c>
      <c r="D4" s="27">
        <v>63</v>
      </c>
      <c r="E4" s="94">
        <v>19.399999999999999</v>
      </c>
      <c r="F4" s="94">
        <v>3.3940799999999998</v>
      </c>
      <c r="G4" s="27">
        <v>8</v>
      </c>
    </row>
    <row r="5" spans="1:7">
      <c r="A5" s="25" t="s">
        <v>206</v>
      </c>
      <c r="B5" s="27" t="s">
        <v>35</v>
      </c>
      <c r="C5" s="27" t="s">
        <v>60</v>
      </c>
      <c r="D5" s="27">
        <v>63</v>
      </c>
      <c r="E5" s="94">
        <v>25.4</v>
      </c>
      <c r="F5" s="94">
        <v>8.7680399999999992</v>
      </c>
      <c r="G5" s="27">
        <v>8</v>
      </c>
    </row>
    <row r="6" spans="1:7">
      <c r="A6" s="25" t="s">
        <v>206</v>
      </c>
      <c r="B6" s="27" t="s">
        <v>38</v>
      </c>
      <c r="C6" s="27" t="s">
        <v>60</v>
      </c>
      <c r="D6" s="27">
        <v>63</v>
      </c>
      <c r="E6" s="94">
        <v>6.8</v>
      </c>
      <c r="F6" s="94">
        <v>7.0709999999999997</v>
      </c>
      <c r="G6" s="27">
        <v>8</v>
      </c>
    </row>
    <row r="7" spans="1:7">
      <c r="A7" s="25" t="s">
        <v>206</v>
      </c>
      <c r="B7" s="27" t="s">
        <v>38</v>
      </c>
      <c r="C7" s="27" t="s">
        <v>60</v>
      </c>
      <c r="D7" s="27">
        <v>63</v>
      </c>
      <c r="E7" s="94">
        <v>3.1</v>
      </c>
      <c r="F7" s="94">
        <v>2.8283999999999998</v>
      </c>
      <c r="G7" s="27">
        <v>8</v>
      </c>
    </row>
    <row r="8" spans="1:7">
      <c r="A8" s="25" t="s">
        <v>206</v>
      </c>
      <c r="B8" s="27" t="s">
        <v>38</v>
      </c>
      <c r="C8" s="27" t="s">
        <v>60</v>
      </c>
      <c r="D8" s="27">
        <v>63</v>
      </c>
      <c r="E8" s="94">
        <v>5.4</v>
      </c>
      <c r="F8" s="94">
        <v>5.0911200000000001</v>
      </c>
      <c r="G8" s="27">
        <v>8</v>
      </c>
    </row>
    <row r="9" spans="1:7">
      <c r="A9" s="25" t="s">
        <v>206</v>
      </c>
      <c r="B9" s="27" t="s">
        <v>38</v>
      </c>
      <c r="C9" s="27" t="s">
        <v>60</v>
      </c>
      <c r="D9" s="27">
        <v>63</v>
      </c>
      <c r="E9" s="94">
        <v>3.4</v>
      </c>
      <c r="F9" s="94">
        <v>1.6970399999999999</v>
      </c>
      <c r="G9" s="27">
        <v>8</v>
      </c>
    </row>
    <row r="10" spans="1:7">
      <c r="A10" s="68" t="s">
        <v>209</v>
      </c>
      <c r="B10" s="14" t="s">
        <v>35</v>
      </c>
      <c r="C10" s="14" t="s">
        <v>60</v>
      </c>
      <c r="D10" s="14" t="s">
        <v>132</v>
      </c>
      <c r="E10" s="15">
        <v>22.2</v>
      </c>
      <c r="F10" s="15">
        <v>4.5999999999999996</v>
      </c>
      <c r="G10" s="15">
        <v>4</v>
      </c>
    </row>
    <row r="11" spans="1:7">
      <c r="A11" s="68" t="s">
        <v>209</v>
      </c>
      <c r="B11" s="14" t="s">
        <v>38</v>
      </c>
      <c r="C11" s="14" t="s">
        <v>60</v>
      </c>
      <c r="D11" s="14" t="s">
        <v>132</v>
      </c>
      <c r="E11" s="15">
        <v>3.8</v>
      </c>
      <c r="F11" s="15">
        <v>2</v>
      </c>
      <c r="G11" s="15">
        <v>4</v>
      </c>
    </row>
    <row r="12" spans="1:7">
      <c r="A12" s="68" t="s">
        <v>209</v>
      </c>
      <c r="B12" s="14" t="s">
        <v>35</v>
      </c>
      <c r="C12" s="14" t="s">
        <v>60</v>
      </c>
      <c r="D12" s="14" t="s">
        <v>132</v>
      </c>
      <c r="E12" s="15">
        <v>18.899999999999999</v>
      </c>
      <c r="F12" s="15">
        <v>6.2</v>
      </c>
      <c r="G12" s="15">
        <v>4</v>
      </c>
    </row>
    <row r="13" spans="1:7">
      <c r="A13" s="68" t="s">
        <v>209</v>
      </c>
      <c r="B13" s="14" t="s">
        <v>38</v>
      </c>
      <c r="C13" s="14" t="s">
        <v>60</v>
      </c>
      <c r="D13" s="14" t="s">
        <v>132</v>
      </c>
      <c r="E13" s="15">
        <v>2</v>
      </c>
      <c r="F13" s="15">
        <v>2.2000000000000002</v>
      </c>
      <c r="G13" s="15">
        <v>4</v>
      </c>
    </row>
    <row r="14" spans="1:7">
      <c r="A14" s="68" t="s">
        <v>222</v>
      </c>
      <c r="B14" s="14" t="s">
        <v>35</v>
      </c>
      <c r="C14" s="14" t="s">
        <v>60</v>
      </c>
      <c r="D14" s="14">
        <v>36</v>
      </c>
      <c r="E14" s="134">
        <v>23</v>
      </c>
      <c r="F14" s="15">
        <v>3.6749999999999998</v>
      </c>
      <c r="G14" s="15">
        <v>6</v>
      </c>
    </row>
    <row r="15" spans="1:7">
      <c r="A15" s="68" t="s">
        <v>222</v>
      </c>
      <c r="B15" s="14" t="s">
        <v>38</v>
      </c>
      <c r="C15" s="14" t="s">
        <v>60</v>
      </c>
      <c r="D15" s="14">
        <v>36</v>
      </c>
      <c r="E15" s="134">
        <v>0</v>
      </c>
      <c r="F15" s="15">
        <v>0</v>
      </c>
      <c r="G15" s="15">
        <v>6</v>
      </c>
    </row>
    <row r="16" spans="1:7">
      <c r="A16" s="13" t="s">
        <v>201</v>
      </c>
      <c r="B16" s="15" t="s">
        <v>35</v>
      </c>
      <c r="C16" s="15" t="s">
        <v>227</v>
      </c>
      <c r="D16" s="15">
        <v>42</v>
      </c>
      <c r="E16" s="15">
        <v>42.1</v>
      </c>
      <c r="F16" s="18">
        <v>15.639959999999999</v>
      </c>
      <c r="G16" s="15">
        <v>3</v>
      </c>
    </row>
    <row r="17" spans="1:7">
      <c r="A17" s="13" t="s">
        <v>201</v>
      </c>
      <c r="B17" s="15" t="s">
        <v>38</v>
      </c>
      <c r="C17" s="15" t="s">
        <v>227</v>
      </c>
      <c r="D17" s="15">
        <v>42</v>
      </c>
      <c r="E17" s="15">
        <v>0</v>
      </c>
      <c r="F17" s="18">
        <v>0</v>
      </c>
      <c r="G17" s="15">
        <v>3</v>
      </c>
    </row>
    <row r="18" spans="1:7">
      <c r="A18" s="13" t="s">
        <v>201</v>
      </c>
      <c r="B18" s="15" t="s">
        <v>35</v>
      </c>
      <c r="C18" s="15" t="s">
        <v>227</v>
      </c>
      <c r="D18" s="15">
        <v>42</v>
      </c>
      <c r="E18" s="15">
        <v>29.5</v>
      </c>
      <c r="F18" s="18">
        <v>18.099399999999999</v>
      </c>
      <c r="G18" s="15">
        <v>3</v>
      </c>
    </row>
    <row r="19" spans="1:7">
      <c r="A19" s="13" t="s">
        <v>201</v>
      </c>
      <c r="B19" s="15" t="s">
        <v>38</v>
      </c>
      <c r="C19" s="15" t="s">
        <v>227</v>
      </c>
      <c r="D19" s="15">
        <v>42</v>
      </c>
      <c r="E19" s="15">
        <v>9.3000000000000007</v>
      </c>
      <c r="F19" s="18">
        <v>2.1476799999999998</v>
      </c>
      <c r="G19" s="15">
        <v>3</v>
      </c>
    </row>
    <row r="20" spans="1:7">
      <c r="A20" s="25" t="s">
        <v>202</v>
      </c>
      <c r="B20" s="27" t="s">
        <v>38</v>
      </c>
      <c r="C20" s="15" t="s">
        <v>227</v>
      </c>
      <c r="D20" s="27">
        <v>63</v>
      </c>
      <c r="E20" s="29">
        <v>1.1715733122</v>
      </c>
      <c r="F20" s="29">
        <v>0.40410801343959035</v>
      </c>
      <c r="G20" s="26">
        <v>5</v>
      </c>
    </row>
    <row r="21" spans="1:7">
      <c r="A21" s="25" t="s">
        <v>202</v>
      </c>
      <c r="B21" s="27" t="s">
        <v>35</v>
      </c>
      <c r="C21" s="15" t="s">
        <v>227</v>
      </c>
      <c r="D21" s="27">
        <v>63</v>
      </c>
      <c r="E21" s="29">
        <v>72.193632924000013</v>
      </c>
      <c r="F21" s="29">
        <v>9.0477919080561442</v>
      </c>
      <c r="G21" s="26">
        <v>5</v>
      </c>
    </row>
    <row r="22" spans="1:7">
      <c r="A22" s="25" t="s">
        <v>202</v>
      </c>
      <c r="B22" s="27" t="s">
        <v>38</v>
      </c>
      <c r="C22" s="15" t="s">
        <v>227</v>
      </c>
      <c r="D22" s="27">
        <v>63</v>
      </c>
      <c r="E22" s="29">
        <v>2.9018473562000002</v>
      </c>
      <c r="F22" s="29">
        <v>1.2226650681083644</v>
      </c>
      <c r="G22" s="26">
        <v>5</v>
      </c>
    </row>
    <row r="23" spans="1:7">
      <c r="A23" s="25" t="s">
        <v>202</v>
      </c>
      <c r="B23" s="27" t="s">
        <v>35</v>
      </c>
      <c r="C23" s="15" t="s">
        <v>227</v>
      </c>
      <c r="D23" s="27">
        <v>63</v>
      </c>
      <c r="E23" s="29">
        <v>61.528260409999994</v>
      </c>
      <c r="F23" s="29">
        <v>3.7444673251555813</v>
      </c>
      <c r="G23" s="26">
        <v>5</v>
      </c>
    </row>
    <row r="24" spans="1:7">
      <c r="A24" s="25" t="s">
        <v>202</v>
      </c>
      <c r="B24" s="27" t="s">
        <v>38</v>
      </c>
      <c r="C24" s="15" t="s">
        <v>227</v>
      </c>
      <c r="D24" s="27">
        <v>63</v>
      </c>
      <c r="E24" s="29">
        <v>0.83336455640000007</v>
      </c>
      <c r="F24" s="29">
        <v>0.76496114988994279</v>
      </c>
      <c r="G24" s="26">
        <v>5</v>
      </c>
    </row>
    <row r="25" spans="1:7">
      <c r="A25" s="25" t="s">
        <v>202</v>
      </c>
      <c r="B25" s="27" t="s">
        <v>35</v>
      </c>
      <c r="C25" s="15" t="s">
        <v>227</v>
      </c>
      <c r="D25" s="27">
        <v>63</v>
      </c>
      <c r="E25" s="29">
        <v>66.060722205999994</v>
      </c>
      <c r="F25" s="29">
        <v>8.5846177700854085</v>
      </c>
      <c r="G25" s="26">
        <v>5</v>
      </c>
    </row>
    <row r="26" spans="1:7">
      <c r="A26" s="25" t="s">
        <v>202</v>
      </c>
      <c r="B26" s="27" t="s">
        <v>38</v>
      </c>
      <c r="C26" s="15" t="s">
        <v>227</v>
      </c>
      <c r="D26" s="27">
        <v>63</v>
      </c>
      <c r="E26" s="34">
        <v>1.6380016399999999E-2</v>
      </c>
      <c r="F26" s="34">
        <v>3.6625716670400002E-2</v>
      </c>
      <c r="G26" s="26">
        <v>5</v>
      </c>
    </row>
    <row r="27" spans="1:7">
      <c r="A27" s="25" t="s">
        <v>202</v>
      </c>
      <c r="B27" s="27" t="s">
        <v>35</v>
      </c>
      <c r="C27" s="15" t="s">
        <v>227</v>
      </c>
      <c r="D27" s="27">
        <v>63</v>
      </c>
      <c r="E27" s="34">
        <v>30.122480025999998</v>
      </c>
      <c r="F27" s="34">
        <v>12.881897449749768</v>
      </c>
      <c r="G27" s="26">
        <v>5</v>
      </c>
    </row>
    <row r="28" spans="1:7">
      <c r="A28" s="25" t="s">
        <v>202</v>
      </c>
      <c r="B28" s="27" t="s">
        <v>38</v>
      </c>
      <c r="C28" s="15" t="s">
        <v>227</v>
      </c>
      <c r="D28" s="27">
        <v>63</v>
      </c>
      <c r="E28" s="34">
        <v>2.40673886E-2</v>
      </c>
      <c r="F28" s="34">
        <v>5.3814680909600003E-2</v>
      </c>
      <c r="G28" s="26">
        <v>5</v>
      </c>
    </row>
    <row r="29" spans="1:7">
      <c r="A29" s="25" t="s">
        <v>202</v>
      </c>
      <c r="B29" s="27" t="s">
        <v>35</v>
      </c>
      <c r="C29" s="15" t="s">
        <v>227</v>
      </c>
      <c r="D29" s="27">
        <v>63</v>
      </c>
      <c r="E29" s="34">
        <v>25.638693480600001</v>
      </c>
      <c r="F29" s="34">
        <v>10.870092807485504</v>
      </c>
      <c r="G29" s="26">
        <v>5</v>
      </c>
    </row>
    <row r="30" spans="1:7">
      <c r="A30" s="25" t="s">
        <v>202</v>
      </c>
      <c r="B30" s="27" t="s">
        <v>38</v>
      </c>
      <c r="C30" s="15" t="s">
        <v>227</v>
      </c>
      <c r="D30" s="27">
        <v>63</v>
      </c>
      <c r="E30" s="34">
        <v>0</v>
      </c>
      <c r="F30" s="34">
        <v>0</v>
      </c>
      <c r="G30" s="26">
        <v>5</v>
      </c>
    </row>
    <row r="31" spans="1:7">
      <c r="A31" s="25" t="s">
        <v>202</v>
      </c>
      <c r="B31" s="27" t="s">
        <v>35</v>
      </c>
      <c r="C31" s="15" t="s">
        <v>227</v>
      </c>
      <c r="D31" s="27">
        <v>63</v>
      </c>
      <c r="E31" s="34">
        <v>22.164708207</v>
      </c>
      <c r="F31" s="34">
        <v>15.711588121416161</v>
      </c>
      <c r="G31" s="26">
        <v>5</v>
      </c>
    </row>
    <row r="32" spans="1:7">
      <c r="A32" s="13" t="s">
        <v>203</v>
      </c>
      <c r="B32" s="15" t="s">
        <v>35</v>
      </c>
      <c r="C32" s="15" t="s">
        <v>227</v>
      </c>
      <c r="D32" s="15">
        <v>63</v>
      </c>
      <c r="E32" s="15">
        <v>55</v>
      </c>
      <c r="F32" s="18">
        <v>19.600000000000001</v>
      </c>
      <c r="G32" s="15">
        <v>6</v>
      </c>
    </row>
    <row r="33" spans="1:7">
      <c r="A33" s="13" t="s">
        <v>203</v>
      </c>
      <c r="B33" s="15" t="s">
        <v>38</v>
      </c>
      <c r="C33" s="15" t="s">
        <v>227</v>
      </c>
      <c r="D33" s="15">
        <v>63</v>
      </c>
      <c r="E33" s="15">
        <v>5</v>
      </c>
      <c r="F33" s="18">
        <v>2.4500000000000002</v>
      </c>
      <c r="G33" s="15">
        <v>6</v>
      </c>
    </row>
    <row r="34" spans="1:7">
      <c r="A34" s="13" t="s">
        <v>203</v>
      </c>
      <c r="B34" s="15" t="s">
        <v>35</v>
      </c>
      <c r="C34" s="15" t="s">
        <v>227</v>
      </c>
      <c r="D34" s="15">
        <v>63</v>
      </c>
      <c r="E34" s="15">
        <v>31</v>
      </c>
      <c r="F34" s="18">
        <v>14.700000000000001</v>
      </c>
      <c r="G34" s="15">
        <v>6</v>
      </c>
    </row>
    <row r="35" spans="1:7">
      <c r="A35" s="13" t="s">
        <v>203</v>
      </c>
      <c r="B35" s="15" t="s">
        <v>38</v>
      </c>
      <c r="C35" s="15" t="s">
        <v>227</v>
      </c>
      <c r="D35" s="15">
        <v>63</v>
      </c>
      <c r="E35" s="15">
        <v>0</v>
      </c>
      <c r="F35" s="18">
        <v>0</v>
      </c>
      <c r="G35" s="15">
        <v>6</v>
      </c>
    </row>
    <row r="36" spans="1:7">
      <c r="A36" s="13" t="s">
        <v>203</v>
      </c>
      <c r="B36" s="15" t="s">
        <v>35</v>
      </c>
      <c r="C36" s="15" t="s">
        <v>227</v>
      </c>
      <c r="D36" s="15">
        <v>63</v>
      </c>
      <c r="E36" s="15">
        <v>24</v>
      </c>
      <c r="F36" s="18">
        <v>22.05</v>
      </c>
      <c r="G36" s="15">
        <v>6</v>
      </c>
    </row>
    <row r="37" spans="1:7">
      <c r="A37" s="13" t="s">
        <v>203</v>
      </c>
      <c r="B37" s="15" t="s">
        <v>38</v>
      </c>
      <c r="C37" s="15" t="s">
        <v>227</v>
      </c>
      <c r="D37" s="15">
        <v>63</v>
      </c>
      <c r="E37" s="15">
        <v>1</v>
      </c>
      <c r="F37" s="18">
        <v>0</v>
      </c>
      <c r="G37" s="15">
        <v>6</v>
      </c>
    </row>
    <row r="38" spans="1:7">
      <c r="A38" s="13" t="s">
        <v>203</v>
      </c>
      <c r="B38" s="15" t="s">
        <v>35</v>
      </c>
      <c r="C38" s="15" t="s">
        <v>227</v>
      </c>
      <c r="D38" s="15">
        <v>63</v>
      </c>
      <c r="E38" s="15">
        <v>16</v>
      </c>
      <c r="F38" s="18">
        <v>9.8000000000000007</v>
      </c>
      <c r="G38" s="15">
        <v>6</v>
      </c>
    </row>
    <row r="39" spans="1:7">
      <c r="A39" s="13" t="s">
        <v>203</v>
      </c>
      <c r="B39" s="15" t="s">
        <v>38</v>
      </c>
      <c r="C39" s="15" t="s">
        <v>227</v>
      </c>
      <c r="D39" s="15">
        <v>63</v>
      </c>
      <c r="E39" s="15">
        <v>0</v>
      </c>
      <c r="F39" s="18">
        <v>0</v>
      </c>
      <c r="G39" s="15">
        <v>6</v>
      </c>
    </row>
    <row r="40" spans="1:7">
      <c r="A40" s="54" t="s">
        <v>204</v>
      </c>
      <c r="B40" s="27" t="s">
        <v>35</v>
      </c>
      <c r="C40" s="15" t="s">
        <v>227</v>
      </c>
      <c r="D40" s="27">
        <v>58</v>
      </c>
      <c r="E40" s="27">
        <v>76</v>
      </c>
      <c r="F40" s="27" t="s">
        <v>132</v>
      </c>
      <c r="G40" s="27">
        <v>3</v>
      </c>
    </row>
    <row r="41" spans="1:7">
      <c r="A41" s="54" t="s">
        <v>204</v>
      </c>
      <c r="B41" s="27" t="s">
        <v>35</v>
      </c>
      <c r="C41" s="15" t="s">
        <v>227</v>
      </c>
      <c r="D41" s="27">
        <v>58</v>
      </c>
      <c r="E41" s="27">
        <v>47</v>
      </c>
      <c r="F41" s="27" t="s">
        <v>132</v>
      </c>
      <c r="G41" s="27">
        <v>3</v>
      </c>
    </row>
    <row r="42" spans="1:7">
      <c r="A42" s="54" t="s">
        <v>204</v>
      </c>
      <c r="B42" s="27" t="s">
        <v>35</v>
      </c>
      <c r="C42" s="15" t="s">
        <v>227</v>
      </c>
      <c r="D42" s="27">
        <v>58</v>
      </c>
      <c r="E42" s="27">
        <v>13.7</v>
      </c>
      <c r="F42" s="27" t="s">
        <v>132</v>
      </c>
      <c r="G42" s="27">
        <v>3</v>
      </c>
    </row>
    <row r="43" spans="1:7">
      <c r="A43" s="54" t="s">
        <v>204</v>
      </c>
      <c r="B43" s="27" t="s">
        <v>35</v>
      </c>
      <c r="C43" s="15" t="s">
        <v>227</v>
      </c>
      <c r="D43" s="27">
        <v>58</v>
      </c>
      <c r="E43" s="27">
        <v>35.700000000000003</v>
      </c>
      <c r="F43" s="27" t="s">
        <v>132</v>
      </c>
      <c r="G43" s="27">
        <v>3</v>
      </c>
    </row>
    <row r="44" spans="1:7">
      <c r="A44" s="54" t="s">
        <v>204</v>
      </c>
      <c r="B44" s="27" t="s">
        <v>35</v>
      </c>
      <c r="C44" s="15" t="s">
        <v>227</v>
      </c>
      <c r="D44" s="27">
        <v>58</v>
      </c>
      <c r="E44" s="27">
        <v>60</v>
      </c>
      <c r="F44" s="27" t="s">
        <v>132</v>
      </c>
      <c r="G44" s="27">
        <v>3</v>
      </c>
    </row>
    <row r="45" spans="1:7">
      <c r="A45" s="54" t="s">
        <v>204</v>
      </c>
      <c r="B45" s="27" t="s">
        <v>35</v>
      </c>
      <c r="C45" s="15" t="s">
        <v>227</v>
      </c>
      <c r="D45" s="27">
        <v>58</v>
      </c>
      <c r="E45" s="27">
        <v>85.7</v>
      </c>
      <c r="F45" s="27" t="s">
        <v>132</v>
      </c>
      <c r="G45" s="27">
        <v>3</v>
      </c>
    </row>
    <row r="46" spans="1:7">
      <c r="A46" s="13" t="s">
        <v>205</v>
      </c>
      <c r="B46" s="15" t="s">
        <v>35</v>
      </c>
      <c r="C46" s="15" t="s">
        <v>227</v>
      </c>
      <c r="D46" s="15">
        <v>63</v>
      </c>
      <c r="E46" s="15">
        <v>30.43</v>
      </c>
      <c r="F46" s="15">
        <v>10</v>
      </c>
      <c r="G46" s="15">
        <v>4</v>
      </c>
    </row>
    <row r="47" spans="1:7">
      <c r="A47" s="13" t="s">
        <v>205</v>
      </c>
      <c r="B47" s="15" t="s">
        <v>38</v>
      </c>
      <c r="C47" s="15" t="s">
        <v>227</v>
      </c>
      <c r="D47" s="15">
        <v>63</v>
      </c>
      <c r="E47" s="15">
        <v>0</v>
      </c>
      <c r="F47" s="15">
        <v>0</v>
      </c>
      <c r="G47" s="15">
        <v>4</v>
      </c>
    </row>
    <row r="48" spans="1:7">
      <c r="A48" s="13" t="s">
        <v>207</v>
      </c>
      <c r="B48" s="15" t="s">
        <v>38</v>
      </c>
      <c r="C48" s="15" t="s">
        <v>227</v>
      </c>
      <c r="D48" s="15">
        <v>72</v>
      </c>
      <c r="E48" s="18">
        <v>1</v>
      </c>
      <c r="F48" s="18">
        <v>1.1499999999999999</v>
      </c>
      <c r="G48" s="15">
        <v>4</v>
      </c>
    </row>
    <row r="49" spans="1:7">
      <c r="A49" s="13" t="s">
        <v>207</v>
      </c>
      <c r="B49" s="15" t="s">
        <v>35</v>
      </c>
      <c r="C49" s="15" t="s">
        <v>227</v>
      </c>
      <c r="D49" s="15">
        <v>72</v>
      </c>
      <c r="E49" s="18">
        <v>71.75</v>
      </c>
      <c r="F49" s="18">
        <v>12.36</v>
      </c>
      <c r="G49" s="15">
        <v>4</v>
      </c>
    </row>
    <row r="50" spans="1:7">
      <c r="A50" s="25" t="s">
        <v>208</v>
      </c>
      <c r="B50" s="27" t="s">
        <v>35</v>
      </c>
      <c r="C50" s="15" t="s">
        <v>227</v>
      </c>
      <c r="D50" s="27">
        <v>79</v>
      </c>
      <c r="E50" s="94">
        <v>18.920000000000002</v>
      </c>
      <c r="F50" s="65">
        <v>0.12926118433683315</v>
      </c>
      <c r="G50" s="27">
        <v>6</v>
      </c>
    </row>
    <row r="51" spans="1:7">
      <c r="A51" s="25" t="s">
        <v>208</v>
      </c>
      <c r="B51" s="27" t="s">
        <v>38</v>
      </c>
      <c r="C51" s="15" t="s">
        <v>227</v>
      </c>
      <c r="D51" s="27">
        <v>79</v>
      </c>
      <c r="E51" s="94">
        <v>3.0000000000000001E-3</v>
      </c>
      <c r="F51" s="65">
        <v>5.1640856578452545E-3</v>
      </c>
      <c r="G51" s="27">
        <v>6</v>
      </c>
    </row>
    <row r="52" spans="1:7">
      <c r="A52" s="25" t="s">
        <v>208</v>
      </c>
      <c r="B52" s="27" t="s">
        <v>35</v>
      </c>
      <c r="C52" s="15" t="s">
        <v>227</v>
      </c>
      <c r="D52" s="27">
        <v>79</v>
      </c>
      <c r="E52" s="94">
        <v>17.489999999999998</v>
      </c>
      <c r="F52" s="65">
        <v>0.10119262933571682</v>
      </c>
      <c r="G52" s="27">
        <v>6</v>
      </c>
    </row>
    <row r="53" spans="1:7">
      <c r="A53" s="25" t="s">
        <v>208</v>
      </c>
      <c r="B53" s="27" t="s">
        <v>38</v>
      </c>
      <c r="C53" s="15" t="s">
        <v>227</v>
      </c>
      <c r="D53" s="27">
        <v>79</v>
      </c>
      <c r="E53" s="94">
        <v>3.0000000000000001E-3</v>
      </c>
      <c r="F53" s="65">
        <v>5.1640856578452545E-3</v>
      </c>
      <c r="G53" s="27">
        <v>6</v>
      </c>
    </row>
    <row r="54" spans="1:7">
      <c r="A54" s="25" t="s">
        <v>210</v>
      </c>
      <c r="B54" s="27" t="s">
        <v>35</v>
      </c>
      <c r="C54" s="15" t="s">
        <v>227</v>
      </c>
      <c r="D54" s="27">
        <v>42</v>
      </c>
      <c r="E54" s="27">
        <v>15.0029</v>
      </c>
      <c r="F54" s="27">
        <v>5.2864103999999985</v>
      </c>
      <c r="G54" s="27">
        <v>3</v>
      </c>
    </row>
    <row r="55" spans="1:7">
      <c r="A55" s="25" t="s">
        <v>210</v>
      </c>
      <c r="B55" s="27" t="s">
        <v>35</v>
      </c>
      <c r="C55" s="15" t="s">
        <v>227</v>
      </c>
      <c r="D55" s="27">
        <v>42</v>
      </c>
      <c r="E55" s="27">
        <v>31.360600000000002</v>
      </c>
      <c r="F55" s="27">
        <v>3.1796055999999919</v>
      </c>
      <c r="G55" s="27">
        <v>3</v>
      </c>
    </row>
    <row r="56" spans="1:7">
      <c r="A56" s="25" t="s">
        <v>210</v>
      </c>
      <c r="B56" s="27" t="s">
        <v>35</v>
      </c>
      <c r="C56" s="15" t="s">
        <v>227</v>
      </c>
      <c r="D56" s="27">
        <v>42</v>
      </c>
      <c r="E56" s="27">
        <v>24.444500000000001</v>
      </c>
      <c r="F56" s="27">
        <v>2.9064691999999948</v>
      </c>
      <c r="G56" s="27">
        <v>3</v>
      </c>
    </row>
    <row r="57" spans="1:7">
      <c r="A57" s="13" t="s">
        <v>211</v>
      </c>
      <c r="B57" s="15" t="s">
        <v>35</v>
      </c>
      <c r="C57" s="15" t="s">
        <v>227</v>
      </c>
      <c r="D57" s="15">
        <v>64</v>
      </c>
      <c r="E57" s="15">
        <v>66.3</v>
      </c>
      <c r="F57" s="15" t="s">
        <v>132</v>
      </c>
      <c r="G57" s="15">
        <v>3</v>
      </c>
    </row>
    <row r="58" spans="1:7">
      <c r="A58" s="13" t="s">
        <v>211</v>
      </c>
      <c r="B58" s="15" t="s">
        <v>38</v>
      </c>
      <c r="C58" s="15" t="s">
        <v>227</v>
      </c>
      <c r="D58" s="15">
        <v>64</v>
      </c>
      <c r="E58" s="15">
        <v>4.3</v>
      </c>
      <c r="F58" s="15" t="s">
        <v>132</v>
      </c>
      <c r="G58" s="15">
        <v>3</v>
      </c>
    </row>
    <row r="59" spans="1:7">
      <c r="A59" s="13" t="s">
        <v>211</v>
      </c>
      <c r="B59" s="15" t="s">
        <v>35</v>
      </c>
      <c r="C59" s="15" t="s">
        <v>227</v>
      </c>
      <c r="D59" s="15">
        <v>64</v>
      </c>
      <c r="E59" s="15">
        <v>20.7</v>
      </c>
      <c r="F59" s="15" t="s">
        <v>132</v>
      </c>
      <c r="G59" s="15">
        <v>3</v>
      </c>
    </row>
    <row r="60" spans="1:7">
      <c r="A60" s="13" t="s">
        <v>211</v>
      </c>
      <c r="B60" s="15" t="s">
        <v>38</v>
      </c>
      <c r="C60" s="15" t="s">
        <v>227</v>
      </c>
      <c r="D60" s="15">
        <v>64</v>
      </c>
      <c r="E60" s="15">
        <v>3.7</v>
      </c>
      <c r="F60" s="15" t="s">
        <v>132</v>
      </c>
      <c r="G60" s="15">
        <v>3</v>
      </c>
    </row>
    <row r="61" spans="1:7">
      <c r="A61" s="13" t="s">
        <v>211</v>
      </c>
      <c r="B61" s="15" t="s">
        <v>35</v>
      </c>
      <c r="C61" s="15" t="s">
        <v>227</v>
      </c>
      <c r="D61" s="15">
        <v>64</v>
      </c>
      <c r="E61" s="15">
        <v>96</v>
      </c>
      <c r="F61" s="15" t="s">
        <v>132</v>
      </c>
      <c r="G61" s="15">
        <v>3</v>
      </c>
    </row>
    <row r="62" spans="1:7">
      <c r="A62" s="13" t="s">
        <v>211</v>
      </c>
      <c r="B62" s="15" t="s">
        <v>38</v>
      </c>
      <c r="C62" s="15" t="s">
        <v>227</v>
      </c>
      <c r="D62" s="15">
        <v>64</v>
      </c>
      <c r="E62" s="15">
        <v>76</v>
      </c>
      <c r="F62" s="15" t="s">
        <v>132</v>
      </c>
      <c r="G62" s="15">
        <v>3</v>
      </c>
    </row>
    <row r="63" spans="1:7">
      <c r="A63" s="13" t="s">
        <v>211</v>
      </c>
      <c r="B63" s="15" t="s">
        <v>35</v>
      </c>
      <c r="C63" s="15" t="s">
        <v>227</v>
      </c>
      <c r="D63" s="15">
        <v>64</v>
      </c>
      <c r="E63" s="15">
        <v>82</v>
      </c>
      <c r="F63" s="15" t="s">
        <v>132</v>
      </c>
      <c r="G63" s="15">
        <v>3</v>
      </c>
    </row>
    <row r="64" spans="1:7">
      <c r="A64" s="13" t="s">
        <v>211</v>
      </c>
      <c r="B64" s="15" t="s">
        <v>38</v>
      </c>
      <c r="C64" s="15" t="s">
        <v>227</v>
      </c>
      <c r="D64" s="15">
        <v>64</v>
      </c>
      <c r="E64" s="15">
        <v>30</v>
      </c>
      <c r="F64" s="15" t="s">
        <v>132</v>
      </c>
      <c r="G64" s="15">
        <v>3</v>
      </c>
    </row>
    <row r="65" spans="1:7">
      <c r="A65" s="13" t="s">
        <v>211</v>
      </c>
      <c r="B65" s="15" t="s">
        <v>35</v>
      </c>
      <c r="C65" s="15" t="s">
        <v>227</v>
      </c>
      <c r="D65" s="15">
        <v>64</v>
      </c>
      <c r="E65" s="15">
        <v>68</v>
      </c>
      <c r="F65" s="15" t="s">
        <v>132</v>
      </c>
      <c r="G65" s="15">
        <v>3</v>
      </c>
    </row>
    <row r="66" spans="1:7">
      <c r="A66" s="13" t="s">
        <v>211</v>
      </c>
      <c r="B66" s="15" t="s">
        <v>38</v>
      </c>
      <c r="C66" s="15" t="s">
        <v>227</v>
      </c>
      <c r="D66" s="15">
        <v>64</v>
      </c>
      <c r="E66" s="15">
        <v>28.3</v>
      </c>
      <c r="F66" s="15" t="s">
        <v>132</v>
      </c>
      <c r="G66" s="15">
        <v>3</v>
      </c>
    </row>
    <row r="67" spans="1:7">
      <c r="A67" s="25" t="s">
        <v>212</v>
      </c>
      <c r="B67" s="27" t="s">
        <v>35</v>
      </c>
      <c r="C67" s="15" t="s">
        <v>227</v>
      </c>
      <c r="D67" s="27">
        <v>45</v>
      </c>
      <c r="E67" s="15" t="s">
        <v>132</v>
      </c>
      <c r="F67" s="15" t="s">
        <v>132</v>
      </c>
      <c r="G67" s="27">
        <v>5</v>
      </c>
    </row>
    <row r="68" spans="1:7">
      <c r="A68" s="25" t="s">
        <v>212</v>
      </c>
      <c r="B68" s="27" t="s">
        <v>38</v>
      </c>
      <c r="C68" s="15" t="s">
        <v>227</v>
      </c>
      <c r="D68" s="27">
        <v>45</v>
      </c>
      <c r="E68" s="15" t="s">
        <v>132</v>
      </c>
      <c r="F68" s="15" t="s">
        <v>132</v>
      </c>
      <c r="G68" s="27">
        <v>5</v>
      </c>
    </row>
    <row r="69" spans="1:7">
      <c r="A69" s="25" t="s">
        <v>212</v>
      </c>
      <c r="B69" s="27" t="s">
        <v>35</v>
      </c>
      <c r="C69" s="15" t="s">
        <v>227</v>
      </c>
      <c r="D69" s="27">
        <v>45</v>
      </c>
      <c r="E69" s="15" t="s">
        <v>132</v>
      </c>
      <c r="F69" s="15" t="s">
        <v>132</v>
      </c>
      <c r="G69" s="27">
        <v>5</v>
      </c>
    </row>
    <row r="70" spans="1:7">
      <c r="A70" s="25" t="s">
        <v>212</v>
      </c>
      <c r="B70" s="27" t="s">
        <v>38</v>
      </c>
      <c r="C70" s="15" t="s">
        <v>227</v>
      </c>
      <c r="D70" s="27">
        <v>45</v>
      </c>
      <c r="E70" s="15" t="s">
        <v>132</v>
      </c>
      <c r="F70" s="15" t="s">
        <v>132</v>
      </c>
      <c r="G70" s="27">
        <v>5</v>
      </c>
    </row>
    <row r="71" spans="1:7">
      <c r="A71" s="25" t="s">
        <v>212</v>
      </c>
      <c r="B71" s="27" t="s">
        <v>35</v>
      </c>
      <c r="C71" s="15" t="s">
        <v>227</v>
      </c>
      <c r="D71" s="27">
        <v>45</v>
      </c>
      <c r="E71" s="15" t="s">
        <v>132</v>
      </c>
      <c r="F71" s="15" t="s">
        <v>132</v>
      </c>
      <c r="G71" s="27">
        <v>5</v>
      </c>
    </row>
    <row r="72" spans="1:7">
      <c r="A72" s="25" t="s">
        <v>212</v>
      </c>
      <c r="B72" s="27" t="s">
        <v>38</v>
      </c>
      <c r="C72" s="15" t="s">
        <v>227</v>
      </c>
      <c r="D72" s="27">
        <v>45</v>
      </c>
      <c r="E72" s="15" t="s">
        <v>132</v>
      </c>
      <c r="F72" s="15" t="s">
        <v>132</v>
      </c>
      <c r="G72" s="27">
        <v>5</v>
      </c>
    </row>
    <row r="73" spans="1:7">
      <c r="A73" s="25" t="s">
        <v>212</v>
      </c>
      <c r="B73" s="27" t="s">
        <v>35</v>
      </c>
      <c r="C73" s="15" t="s">
        <v>227</v>
      </c>
      <c r="D73" s="27">
        <v>45</v>
      </c>
      <c r="E73" s="27">
        <v>59.4</v>
      </c>
      <c r="F73" s="27">
        <v>13.863200000000001</v>
      </c>
      <c r="G73" s="27">
        <v>5</v>
      </c>
    </row>
    <row r="74" spans="1:7">
      <c r="A74" s="25" t="s">
        <v>212</v>
      </c>
      <c r="B74" s="27" t="s">
        <v>38</v>
      </c>
      <c r="C74" s="15" t="s">
        <v>227</v>
      </c>
      <c r="D74" s="27">
        <v>45</v>
      </c>
      <c r="E74" s="27">
        <v>62.4</v>
      </c>
      <c r="F74" s="27">
        <v>7.8260000000000005</v>
      </c>
      <c r="G74" s="27">
        <v>5</v>
      </c>
    </row>
    <row r="75" spans="1:7">
      <c r="A75" s="25" t="s">
        <v>214</v>
      </c>
      <c r="B75" s="27" t="s">
        <v>35</v>
      </c>
      <c r="C75" s="15" t="s">
        <v>227</v>
      </c>
      <c r="D75" s="27">
        <v>28</v>
      </c>
      <c r="E75" s="34">
        <v>4.5999999999999996</v>
      </c>
      <c r="F75" s="34">
        <v>3.3987200000000013</v>
      </c>
      <c r="G75" s="27">
        <v>5</v>
      </c>
    </row>
    <row r="76" spans="1:7">
      <c r="A76" s="25" t="s">
        <v>214</v>
      </c>
      <c r="B76" s="27" t="s">
        <v>38</v>
      </c>
      <c r="C76" s="15" t="s">
        <v>227</v>
      </c>
      <c r="D76" s="27">
        <v>28</v>
      </c>
      <c r="E76" s="34">
        <v>0</v>
      </c>
      <c r="F76" s="34">
        <v>0.29068000000000005</v>
      </c>
      <c r="G76" s="27">
        <v>5</v>
      </c>
    </row>
    <row r="77" spans="1:7">
      <c r="A77" s="25" t="s">
        <v>214</v>
      </c>
      <c r="B77" s="27" t="s">
        <v>35</v>
      </c>
      <c r="C77" s="15" t="s">
        <v>227</v>
      </c>
      <c r="D77" s="27">
        <v>70</v>
      </c>
      <c r="E77" s="34">
        <v>23.37</v>
      </c>
      <c r="F77" s="34">
        <v>9.6148000000000025</v>
      </c>
      <c r="G77" s="27">
        <v>5</v>
      </c>
    </row>
    <row r="78" spans="1:7">
      <c r="A78" s="25" t="s">
        <v>214</v>
      </c>
      <c r="B78" s="27" t="s">
        <v>38</v>
      </c>
      <c r="C78" s="15" t="s">
        <v>227</v>
      </c>
      <c r="D78" s="27">
        <v>70</v>
      </c>
      <c r="E78" s="34">
        <v>0</v>
      </c>
      <c r="F78" s="34">
        <v>0.46956000000000003</v>
      </c>
      <c r="G78" s="27">
        <v>5</v>
      </c>
    </row>
    <row r="79" spans="1:7">
      <c r="A79" s="25" t="s">
        <v>214</v>
      </c>
      <c r="B79" s="27" t="s">
        <v>35</v>
      </c>
      <c r="C79" s="15" t="s">
        <v>227</v>
      </c>
      <c r="D79" s="27">
        <v>112</v>
      </c>
      <c r="E79" s="34">
        <v>44.23</v>
      </c>
      <c r="F79" s="34">
        <v>5.187520000000001</v>
      </c>
      <c r="G79" s="27">
        <v>5</v>
      </c>
    </row>
    <row r="80" spans="1:7">
      <c r="A80" s="25" t="s">
        <v>214</v>
      </c>
      <c r="B80" s="27" t="s">
        <v>38</v>
      </c>
      <c r="C80" s="15" t="s">
        <v>227</v>
      </c>
      <c r="D80" s="27">
        <v>112</v>
      </c>
      <c r="E80" s="34">
        <v>0</v>
      </c>
      <c r="F80" s="34">
        <v>0</v>
      </c>
      <c r="G80" s="27">
        <v>5</v>
      </c>
    </row>
    <row r="81" spans="1:7">
      <c r="A81" s="25" t="s">
        <v>214</v>
      </c>
      <c r="B81" s="27" t="s">
        <v>35</v>
      </c>
      <c r="C81" s="15" t="s">
        <v>227</v>
      </c>
      <c r="D81" s="27">
        <v>28</v>
      </c>
      <c r="E81" s="34">
        <v>0.68510000000000004</v>
      </c>
      <c r="F81" s="34">
        <v>1.5374736000000002</v>
      </c>
      <c r="G81" s="27">
        <v>5</v>
      </c>
    </row>
    <row r="82" spans="1:7">
      <c r="A82" s="25" t="s">
        <v>214</v>
      </c>
      <c r="B82" s="27" t="s">
        <v>38</v>
      </c>
      <c r="C82" s="15" t="s">
        <v>227</v>
      </c>
      <c r="D82" s="27">
        <v>28</v>
      </c>
      <c r="E82" s="34">
        <v>0</v>
      </c>
      <c r="F82" s="34">
        <v>0</v>
      </c>
      <c r="G82" s="27">
        <v>5</v>
      </c>
    </row>
    <row r="83" spans="1:7">
      <c r="A83" s="25" t="s">
        <v>214</v>
      </c>
      <c r="B83" s="27" t="s">
        <v>35</v>
      </c>
      <c r="C83" s="15" t="s">
        <v>227</v>
      </c>
      <c r="D83" s="27">
        <v>70</v>
      </c>
      <c r="E83" s="34">
        <v>5.19</v>
      </c>
      <c r="F83" s="34">
        <v>4.8744800000000001</v>
      </c>
      <c r="G83" s="27">
        <v>5</v>
      </c>
    </row>
    <row r="84" spans="1:7">
      <c r="A84" s="25" t="s">
        <v>214</v>
      </c>
      <c r="B84" s="27" t="s">
        <v>38</v>
      </c>
      <c r="C84" s="15" t="s">
        <v>227</v>
      </c>
      <c r="D84" s="27">
        <v>70</v>
      </c>
      <c r="E84" s="34">
        <v>0.48299999999999998</v>
      </c>
      <c r="F84" s="34">
        <v>1.1336520000000001</v>
      </c>
      <c r="G84" s="27">
        <v>5</v>
      </c>
    </row>
    <row r="85" spans="1:7">
      <c r="A85" s="25" t="s">
        <v>214</v>
      </c>
      <c r="B85" s="27" t="s">
        <v>35</v>
      </c>
      <c r="C85" s="15" t="s">
        <v>227</v>
      </c>
      <c r="D85" s="27">
        <v>112</v>
      </c>
      <c r="E85" s="34">
        <v>10.62</v>
      </c>
      <c r="F85" s="34">
        <v>2.3030800000000027</v>
      </c>
      <c r="G85" s="27">
        <v>5</v>
      </c>
    </row>
    <row r="86" spans="1:7">
      <c r="A86" s="25" t="s">
        <v>214</v>
      </c>
      <c r="B86" s="27" t="s">
        <v>38</v>
      </c>
      <c r="C86" s="15" t="s">
        <v>227</v>
      </c>
      <c r="D86" s="27">
        <v>112</v>
      </c>
      <c r="E86" s="27">
        <v>0</v>
      </c>
      <c r="F86" s="27">
        <v>0</v>
      </c>
      <c r="G86" s="27">
        <v>5</v>
      </c>
    </row>
    <row r="87" spans="1:7">
      <c r="A87" s="25" t="s">
        <v>214</v>
      </c>
      <c r="B87" s="27" t="s">
        <v>35</v>
      </c>
      <c r="C87" s="15" t="s">
        <v>227</v>
      </c>
      <c r="D87" s="27">
        <v>28</v>
      </c>
      <c r="E87" s="34">
        <v>2.4500000000000002</v>
      </c>
      <c r="F87" s="34">
        <v>1.3863199999999993</v>
      </c>
      <c r="G87" s="27">
        <v>5</v>
      </c>
    </row>
    <row r="88" spans="1:7">
      <c r="A88" s="25" t="s">
        <v>214</v>
      </c>
      <c r="B88" s="27" t="s">
        <v>38</v>
      </c>
      <c r="C88" s="15" t="s">
        <v>227</v>
      </c>
      <c r="D88" s="27">
        <v>28</v>
      </c>
      <c r="E88" s="34">
        <v>0</v>
      </c>
      <c r="F88" s="34">
        <v>0</v>
      </c>
      <c r="G88" s="27">
        <v>5</v>
      </c>
    </row>
    <row r="89" spans="1:7">
      <c r="A89" s="25" t="s">
        <v>214</v>
      </c>
      <c r="B89" s="27" t="s">
        <v>35</v>
      </c>
      <c r="C89" s="15" t="s">
        <v>227</v>
      </c>
      <c r="D89" s="27">
        <v>70</v>
      </c>
      <c r="E89" s="34">
        <v>11.93</v>
      </c>
      <c r="F89" s="34">
        <v>6.3949599999999993</v>
      </c>
      <c r="G89" s="27">
        <v>5</v>
      </c>
    </row>
    <row r="90" spans="1:7">
      <c r="A90" s="25" t="s">
        <v>214</v>
      </c>
      <c r="B90" s="27" t="s">
        <v>38</v>
      </c>
      <c r="C90" s="15" t="s">
        <v>227</v>
      </c>
      <c r="D90" s="27">
        <v>70</v>
      </c>
      <c r="E90" s="34">
        <v>0</v>
      </c>
      <c r="F90" s="34">
        <v>0</v>
      </c>
      <c r="G90" s="27">
        <v>5</v>
      </c>
    </row>
    <row r="91" spans="1:7">
      <c r="A91" s="25" t="s">
        <v>214</v>
      </c>
      <c r="B91" s="27" t="s">
        <v>35</v>
      </c>
      <c r="C91" s="15" t="s">
        <v>227</v>
      </c>
      <c r="D91" s="27">
        <v>112</v>
      </c>
      <c r="E91" s="34">
        <v>13.18</v>
      </c>
      <c r="F91" s="34">
        <v>1.3863200000000024</v>
      </c>
      <c r="G91" s="27">
        <v>5</v>
      </c>
    </row>
    <row r="92" spans="1:7">
      <c r="A92" s="25" t="s">
        <v>214</v>
      </c>
      <c r="B92" s="27" t="s">
        <v>38</v>
      </c>
      <c r="C92" s="15" t="s">
        <v>227</v>
      </c>
      <c r="D92" s="27">
        <v>112</v>
      </c>
      <c r="E92" s="34">
        <v>0</v>
      </c>
      <c r="F92" s="34">
        <v>0</v>
      </c>
      <c r="G92" s="27">
        <v>5</v>
      </c>
    </row>
    <row r="93" spans="1:7">
      <c r="A93" s="25" t="s">
        <v>214</v>
      </c>
      <c r="B93" s="27" t="s">
        <v>35</v>
      </c>
      <c r="C93" s="15" t="s">
        <v>227</v>
      </c>
      <c r="D93" s="27">
        <v>28</v>
      </c>
      <c r="E93" s="34">
        <v>20.1493</v>
      </c>
      <c r="F93" s="34">
        <v>6.4551490000000014</v>
      </c>
      <c r="G93" s="27">
        <v>3</v>
      </c>
    </row>
    <row r="94" spans="1:7">
      <c r="A94" s="25" t="s">
        <v>214</v>
      </c>
      <c r="B94" s="27" t="s">
        <v>38</v>
      </c>
      <c r="C94" s="15" t="s">
        <v>227</v>
      </c>
      <c r="D94" s="27">
        <v>28</v>
      </c>
      <c r="E94" s="34">
        <v>14.626899999999999</v>
      </c>
      <c r="F94" s="34">
        <v>10.586562000000004</v>
      </c>
      <c r="G94" s="27">
        <v>3</v>
      </c>
    </row>
    <row r="95" spans="1:7">
      <c r="A95" s="25" t="s">
        <v>214</v>
      </c>
      <c r="B95" s="27" t="s">
        <v>35</v>
      </c>
      <c r="C95" s="15" t="s">
        <v>227</v>
      </c>
      <c r="D95" s="27">
        <v>70</v>
      </c>
      <c r="E95" s="34">
        <v>31.940300000000001</v>
      </c>
      <c r="F95" s="34">
        <v>11.361082999999994</v>
      </c>
      <c r="G95" s="27">
        <v>3</v>
      </c>
    </row>
    <row r="96" spans="1:7">
      <c r="A96" s="25" t="s">
        <v>214</v>
      </c>
      <c r="B96" s="27" t="s">
        <v>38</v>
      </c>
      <c r="C96" s="15" t="s">
        <v>227</v>
      </c>
      <c r="D96" s="27">
        <v>70</v>
      </c>
      <c r="E96" s="34">
        <v>6.8657000000000004</v>
      </c>
      <c r="F96" s="34">
        <v>2.0656199999999982</v>
      </c>
      <c r="G96" s="27">
        <v>3</v>
      </c>
    </row>
    <row r="97" spans="1:7">
      <c r="A97" s="25" t="s">
        <v>214</v>
      </c>
      <c r="B97" s="27" t="s">
        <v>35</v>
      </c>
      <c r="C97" s="15" t="s">
        <v>227</v>
      </c>
      <c r="D97" s="27">
        <v>126</v>
      </c>
      <c r="E97" s="34">
        <v>64.477599999999995</v>
      </c>
      <c r="F97" s="34">
        <v>26.03106480000001</v>
      </c>
      <c r="G97" s="27">
        <v>5</v>
      </c>
    </row>
    <row r="98" spans="1:7">
      <c r="A98" s="25" t="s">
        <v>214</v>
      </c>
      <c r="B98" s="27" t="s">
        <v>38</v>
      </c>
      <c r="C98" s="15" t="s">
        <v>227</v>
      </c>
      <c r="D98" s="27">
        <v>126</v>
      </c>
      <c r="E98" s="34">
        <v>14.1791</v>
      </c>
      <c r="F98" s="34">
        <v>5.005956799999999</v>
      </c>
      <c r="G98" s="27">
        <v>5</v>
      </c>
    </row>
    <row r="99" spans="1:7">
      <c r="A99" s="25" t="s">
        <v>214</v>
      </c>
      <c r="B99" s="27" t="s">
        <v>35</v>
      </c>
      <c r="C99" s="15" t="s">
        <v>227</v>
      </c>
      <c r="D99" s="27">
        <v>28</v>
      </c>
      <c r="E99" s="34">
        <v>16.255400000000002</v>
      </c>
      <c r="F99" s="34">
        <v>10.545733999999994</v>
      </c>
      <c r="G99" s="27">
        <v>3</v>
      </c>
    </row>
    <row r="100" spans="1:7">
      <c r="A100" s="25" t="s">
        <v>214</v>
      </c>
      <c r="B100" s="27" t="s">
        <v>38</v>
      </c>
      <c r="C100" s="15" t="s">
        <v>227</v>
      </c>
      <c r="D100" s="27">
        <v>28</v>
      </c>
      <c r="E100" s="34">
        <v>0.5806</v>
      </c>
      <c r="F100" s="34">
        <v>0.75324199999999997</v>
      </c>
      <c r="G100" s="27">
        <v>3</v>
      </c>
    </row>
    <row r="101" spans="1:7">
      <c r="A101" s="25" t="s">
        <v>214</v>
      </c>
      <c r="B101" s="27" t="s">
        <v>35</v>
      </c>
      <c r="C101" s="15" t="s">
        <v>227</v>
      </c>
      <c r="D101" s="27">
        <v>70</v>
      </c>
      <c r="E101" s="34">
        <v>25.5443</v>
      </c>
      <c r="F101" s="34">
        <v>20.087029999999995</v>
      </c>
      <c r="G101" s="27">
        <v>3</v>
      </c>
    </row>
    <row r="102" spans="1:7">
      <c r="A102" s="25" t="s">
        <v>214</v>
      </c>
      <c r="B102" s="27" t="s">
        <v>38</v>
      </c>
      <c r="C102" s="15" t="s">
        <v>227</v>
      </c>
      <c r="D102" s="27">
        <v>70</v>
      </c>
      <c r="E102" s="29">
        <v>2.3222</v>
      </c>
      <c r="F102" s="29">
        <v>3.0131410000000005</v>
      </c>
      <c r="G102" s="26">
        <v>3</v>
      </c>
    </row>
    <row r="103" spans="1:7">
      <c r="A103" s="25" t="s">
        <v>214</v>
      </c>
      <c r="B103" s="27" t="s">
        <v>35</v>
      </c>
      <c r="C103" s="15" t="s">
        <v>227</v>
      </c>
      <c r="D103" s="27">
        <v>126</v>
      </c>
      <c r="E103" s="29">
        <v>66.328000000000003</v>
      </c>
      <c r="F103" s="29">
        <v>9.2415464000000043</v>
      </c>
      <c r="G103" s="26">
        <v>6</v>
      </c>
    </row>
    <row r="104" spans="1:7">
      <c r="A104" s="25" t="s">
        <v>214</v>
      </c>
      <c r="B104" s="27" t="s">
        <v>38</v>
      </c>
      <c r="C104" s="15" t="s">
        <v>227</v>
      </c>
      <c r="D104" s="27">
        <v>126</v>
      </c>
      <c r="E104" s="29" t="s">
        <v>132</v>
      </c>
      <c r="F104" s="29" t="s">
        <v>132</v>
      </c>
      <c r="G104" s="26">
        <v>6</v>
      </c>
    </row>
    <row r="105" spans="1:7">
      <c r="A105" s="25" t="s">
        <v>214</v>
      </c>
      <c r="B105" s="27" t="s">
        <v>35</v>
      </c>
      <c r="C105" s="15" t="s">
        <v>227</v>
      </c>
      <c r="D105" s="27">
        <v>28</v>
      </c>
      <c r="E105" s="34">
        <v>31.040600000000001</v>
      </c>
      <c r="F105" s="34">
        <v>8.8482579999999995</v>
      </c>
      <c r="G105" s="27">
        <v>3</v>
      </c>
    </row>
    <row r="106" spans="1:7">
      <c r="A106" s="25" t="s">
        <v>214</v>
      </c>
      <c r="B106" s="27" t="s">
        <v>38</v>
      </c>
      <c r="C106" s="15" t="s">
        <v>227</v>
      </c>
      <c r="D106" s="27">
        <v>28</v>
      </c>
      <c r="E106" s="34">
        <v>4.9382999999999999</v>
      </c>
      <c r="F106" s="34">
        <v>4.5767150000000001</v>
      </c>
      <c r="G106" s="27">
        <v>3</v>
      </c>
    </row>
    <row r="107" spans="1:7">
      <c r="A107" s="25" t="s">
        <v>214</v>
      </c>
      <c r="B107" s="27" t="s">
        <v>35</v>
      </c>
      <c r="C107" s="15" t="s">
        <v>227</v>
      </c>
      <c r="D107" s="27">
        <v>70</v>
      </c>
      <c r="E107" s="34">
        <v>89.947100000000006</v>
      </c>
      <c r="F107" s="34">
        <v>6.4074009999999957</v>
      </c>
      <c r="G107" s="27">
        <v>3</v>
      </c>
    </row>
    <row r="108" spans="1:7">
      <c r="A108" s="25" t="s">
        <v>214</v>
      </c>
      <c r="B108" s="27" t="s">
        <v>38</v>
      </c>
      <c r="C108" s="15" t="s">
        <v>227</v>
      </c>
      <c r="D108" s="27">
        <v>70</v>
      </c>
      <c r="E108" s="29">
        <v>35.626100000000001</v>
      </c>
      <c r="F108" s="29">
        <v>5.4920579999999966</v>
      </c>
      <c r="G108" s="26">
        <v>3</v>
      </c>
    </row>
    <row r="109" spans="1:7">
      <c r="A109" s="25" t="s">
        <v>214</v>
      </c>
      <c r="B109" s="27" t="s">
        <v>35</v>
      </c>
      <c r="C109" s="15" t="s">
        <v>227</v>
      </c>
      <c r="D109" s="27">
        <v>126</v>
      </c>
      <c r="E109" s="29">
        <v>94.885400000000004</v>
      </c>
      <c r="F109" s="29">
        <v>6.9105881999999896</v>
      </c>
      <c r="G109" s="26">
        <v>6</v>
      </c>
    </row>
    <row r="110" spans="1:7">
      <c r="A110" s="25" t="s">
        <v>214</v>
      </c>
      <c r="B110" s="27" t="s">
        <v>38</v>
      </c>
      <c r="C110" s="15" t="s">
        <v>227</v>
      </c>
      <c r="D110" s="27">
        <v>126</v>
      </c>
      <c r="E110" s="29">
        <v>47.442599999999999</v>
      </c>
      <c r="F110" s="29">
        <v>23.32403110000001</v>
      </c>
      <c r="G110" s="26">
        <v>6</v>
      </c>
    </row>
    <row r="111" spans="1:7">
      <c r="A111" s="13" t="s">
        <v>216</v>
      </c>
      <c r="B111" s="15" t="s">
        <v>35</v>
      </c>
      <c r="C111" s="15" t="s">
        <v>227</v>
      </c>
      <c r="D111" s="15">
        <v>56</v>
      </c>
      <c r="E111" s="18">
        <v>8.8000000000000007</v>
      </c>
      <c r="F111" s="18">
        <v>4.6530999999999993</v>
      </c>
      <c r="G111" s="15">
        <v>6</v>
      </c>
    </row>
    <row r="112" spans="1:7">
      <c r="A112" s="13" t="s">
        <v>216</v>
      </c>
      <c r="B112" s="15" t="s">
        <v>38</v>
      </c>
      <c r="C112" s="15" t="s">
        <v>227</v>
      </c>
      <c r="D112" s="15">
        <v>56</v>
      </c>
      <c r="E112" s="18">
        <v>9.3000000000000007</v>
      </c>
      <c r="F112" s="18">
        <v>6.8571999999999989</v>
      </c>
      <c r="G112" s="15">
        <v>6</v>
      </c>
    </row>
    <row r="113" spans="1:7">
      <c r="A113" s="13" t="s">
        <v>216</v>
      </c>
      <c r="B113" s="15" t="s">
        <v>35</v>
      </c>
      <c r="C113" s="15" t="s">
        <v>227</v>
      </c>
      <c r="D113" s="15">
        <v>56</v>
      </c>
      <c r="E113" s="18">
        <v>25.7</v>
      </c>
      <c r="F113" s="18">
        <v>15.918499999999998</v>
      </c>
      <c r="G113" s="15">
        <v>6</v>
      </c>
    </row>
    <row r="114" spans="1:7">
      <c r="A114" s="13" t="s">
        <v>216</v>
      </c>
      <c r="B114" s="15" t="s">
        <v>38</v>
      </c>
      <c r="C114" s="15" t="s">
        <v>227</v>
      </c>
      <c r="D114" s="15">
        <v>56</v>
      </c>
      <c r="E114" s="18">
        <v>9</v>
      </c>
      <c r="F114" s="18">
        <v>5.3878000000000004</v>
      </c>
      <c r="G114" s="15">
        <v>6</v>
      </c>
    </row>
    <row r="115" spans="1:7">
      <c r="A115" s="13" t="s">
        <v>216</v>
      </c>
      <c r="B115" s="15" t="s">
        <v>35</v>
      </c>
      <c r="C115" s="15" t="s">
        <v>227</v>
      </c>
      <c r="D115" s="15">
        <v>56</v>
      </c>
      <c r="E115" s="18">
        <v>53.8</v>
      </c>
      <c r="F115" s="18">
        <v>9.3061999999999987</v>
      </c>
      <c r="G115" s="15">
        <v>6</v>
      </c>
    </row>
    <row r="116" spans="1:7">
      <c r="A116" s="13" t="s">
        <v>216</v>
      </c>
      <c r="B116" s="15" t="s">
        <v>38</v>
      </c>
      <c r="C116" s="15" t="s">
        <v>227</v>
      </c>
      <c r="D116" s="15">
        <v>56</v>
      </c>
      <c r="E116" s="18">
        <v>6.5</v>
      </c>
      <c r="F116" s="18">
        <v>4.8979999999999997</v>
      </c>
      <c r="G116" s="15">
        <v>6</v>
      </c>
    </row>
    <row r="117" spans="1:7">
      <c r="A117" s="13" t="s">
        <v>216</v>
      </c>
      <c r="B117" s="15" t="s">
        <v>35</v>
      </c>
      <c r="C117" s="15" t="s">
        <v>227</v>
      </c>
      <c r="D117" s="15">
        <v>56</v>
      </c>
      <c r="E117" s="18">
        <v>48</v>
      </c>
      <c r="F117" s="18">
        <v>15.428699999999999</v>
      </c>
      <c r="G117" s="15">
        <v>6</v>
      </c>
    </row>
    <row r="118" spans="1:7">
      <c r="A118" s="13" t="s">
        <v>216</v>
      </c>
      <c r="B118" s="15" t="s">
        <v>38</v>
      </c>
      <c r="C118" s="15" t="s">
        <v>227</v>
      </c>
      <c r="D118" s="15">
        <v>56</v>
      </c>
      <c r="E118" s="18">
        <v>15.8</v>
      </c>
      <c r="F118" s="18">
        <v>13.224600000000001</v>
      </c>
      <c r="G118" s="15">
        <v>6</v>
      </c>
    </row>
    <row r="119" spans="1:7">
      <c r="A119" s="25" t="s">
        <v>217</v>
      </c>
      <c r="B119" s="55" t="s">
        <v>35</v>
      </c>
      <c r="C119" s="15" t="s">
        <v>227</v>
      </c>
      <c r="D119" s="55">
        <v>28</v>
      </c>
      <c r="E119" s="55">
        <v>73</v>
      </c>
      <c r="F119" s="27">
        <v>5.1899999999999995</v>
      </c>
      <c r="G119" s="27">
        <v>3</v>
      </c>
    </row>
    <row r="120" spans="1:7">
      <c r="A120" s="25" t="s">
        <v>217</v>
      </c>
      <c r="B120" s="27" t="s">
        <v>38</v>
      </c>
      <c r="C120" s="15" t="s">
        <v>227</v>
      </c>
      <c r="D120" s="55">
        <v>28</v>
      </c>
      <c r="E120" s="27">
        <v>0</v>
      </c>
      <c r="F120" s="27">
        <v>0</v>
      </c>
      <c r="G120" s="27">
        <v>3</v>
      </c>
    </row>
    <row r="121" spans="1:7">
      <c r="A121" s="25" t="s">
        <v>217</v>
      </c>
      <c r="B121" s="27" t="s">
        <v>35</v>
      </c>
      <c r="C121" s="15" t="s">
        <v>227</v>
      </c>
      <c r="D121" s="55">
        <v>28</v>
      </c>
      <c r="E121" s="27">
        <v>88</v>
      </c>
      <c r="F121" s="27">
        <v>3.46</v>
      </c>
      <c r="G121" s="27">
        <v>3</v>
      </c>
    </row>
    <row r="122" spans="1:7">
      <c r="A122" s="25" t="s">
        <v>217</v>
      </c>
      <c r="B122" s="27" t="s">
        <v>38</v>
      </c>
      <c r="C122" s="15" t="s">
        <v>227</v>
      </c>
      <c r="D122" s="55">
        <v>28</v>
      </c>
      <c r="E122" s="27">
        <v>19</v>
      </c>
      <c r="F122" s="27">
        <v>5.1899999999999995</v>
      </c>
      <c r="G122" s="27">
        <v>3</v>
      </c>
    </row>
    <row r="123" spans="1:7">
      <c r="A123" s="25" t="s">
        <v>217</v>
      </c>
      <c r="B123" s="27" t="s">
        <v>35</v>
      </c>
      <c r="C123" s="15" t="s">
        <v>227</v>
      </c>
      <c r="D123" s="55">
        <v>28</v>
      </c>
      <c r="E123" s="27">
        <v>56</v>
      </c>
      <c r="F123" s="27">
        <v>3.46</v>
      </c>
      <c r="G123" s="27">
        <v>3</v>
      </c>
    </row>
    <row r="124" spans="1:7">
      <c r="A124" s="25" t="s">
        <v>217</v>
      </c>
      <c r="B124" s="27" t="s">
        <v>38</v>
      </c>
      <c r="C124" s="15" t="s">
        <v>227</v>
      </c>
      <c r="D124" s="55">
        <v>28</v>
      </c>
      <c r="E124" s="27">
        <v>0</v>
      </c>
      <c r="F124" s="27">
        <v>0</v>
      </c>
      <c r="G124" s="27">
        <v>3</v>
      </c>
    </row>
    <row r="125" spans="1:7">
      <c r="A125" s="25" t="s">
        <v>217</v>
      </c>
      <c r="B125" s="27" t="s">
        <v>35</v>
      </c>
      <c r="C125" s="15" t="s">
        <v>227</v>
      </c>
      <c r="D125" s="55">
        <v>56</v>
      </c>
      <c r="E125" s="27">
        <v>79</v>
      </c>
      <c r="F125" s="27">
        <v>8.65</v>
      </c>
      <c r="G125" s="27">
        <v>4</v>
      </c>
    </row>
    <row r="126" spans="1:7">
      <c r="A126" s="25" t="s">
        <v>217</v>
      </c>
      <c r="B126" s="42" t="s">
        <v>38</v>
      </c>
      <c r="C126" s="15" t="s">
        <v>227</v>
      </c>
      <c r="D126" s="55">
        <v>56</v>
      </c>
      <c r="E126" s="42">
        <v>0</v>
      </c>
      <c r="F126" s="27">
        <v>0</v>
      </c>
      <c r="G126" s="27">
        <v>4</v>
      </c>
    </row>
    <row r="127" spans="1:7">
      <c r="A127" s="25" t="s">
        <v>217</v>
      </c>
      <c r="B127" s="27" t="s">
        <v>35</v>
      </c>
      <c r="C127" s="15" t="s">
        <v>227</v>
      </c>
      <c r="D127" s="27">
        <v>56</v>
      </c>
      <c r="E127" s="27">
        <v>81</v>
      </c>
      <c r="F127" s="27">
        <v>1.73</v>
      </c>
      <c r="G127" s="27">
        <v>4</v>
      </c>
    </row>
    <row r="128" spans="1:7">
      <c r="A128" s="25" t="s">
        <v>217</v>
      </c>
      <c r="B128" s="27" t="s">
        <v>38</v>
      </c>
      <c r="C128" s="15" t="s">
        <v>227</v>
      </c>
      <c r="D128" s="27">
        <v>56</v>
      </c>
      <c r="E128" s="27">
        <v>35</v>
      </c>
      <c r="F128" s="27">
        <v>6.92</v>
      </c>
      <c r="G128" s="27">
        <v>4</v>
      </c>
    </row>
    <row r="129" spans="1:7">
      <c r="A129" s="25" t="s">
        <v>217</v>
      </c>
      <c r="B129" s="27" t="s">
        <v>35</v>
      </c>
      <c r="C129" s="15" t="s">
        <v>227</v>
      </c>
      <c r="D129" s="27">
        <v>56</v>
      </c>
      <c r="E129" s="27">
        <v>55</v>
      </c>
      <c r="F129" s="27">
        <v>8.65</v>
      </c>
      <c r="G129" s="27">
        <v>4</v>
      </c>
    </row>
    <row r="130" spans="1:7">
      <c r="A130" s="25" t="s">
        <v>217</v>
      </c>
      <c r="B130" s="27" t="s">
        <v>38</v>
      </c>
      <c r="C130" s="15" t="s">
        <v>227</v>
      </c>
      <c r="D130" s="27">
        <v>56</v>
      </c>
      <c r="E130" s="27">
        <v>0</v>
      </c>
      <c r="F130" s="27">
        <v>0</v>
      </c>
      <c r="G130" s="27">
        <v>4</v>
      </c>
    </row>
    <row r="131" spans="1:7">
      <c r="A131" s="13" t="s">
        <v>218</v>
      </c>
      <c r="B131" s="15" t="s">
        <v>35</v>
      </c>
      <c r="C131" s="15" t="s">
        <v>227</v>
      </c>
      <c r="D131" s="15">
        <v>63</v>
      </c>
      <c r="E131" s="18">
        <v>29.2</v>
      </c>
      <c r="F131" s="49" t="s">
        <v>132</v>
      </c>
      <c r="G131" s="19">
        <v>4</v>
      </c>
    </row>
    <row r="132" spans="1:7">
      <c r="A132" s="13" t="s">
        <v>218</v>
      </c>
      <c r="B132" s="15" t="s">
        <v>38</v>
      </c>
      <c r="C132" s="15" t="s">
        <v>227</v>
      </c>
      <c r="D132" s="15">
        <v>63</v>
      </c>
      <c r="E132" s="18">
        <v>4.17</v>
      </c>
      <c r="F132" s="49" t="s">
        <v>132</v>
      </c>
      <c r="G132" s="19">
        <v>4</v>
      </c>
    </row>
    <row r="133" spans="1:7">
      <c r="A133" s="25" t="s">
        <v>219</v>
      </c>
      <c r="B133" s="26" t="s">
        <v>35</v>
      </c>
      <c r="C133" s="15" t="s">
        <v>227</v>
      </c>
      <c r="D133" s="26">
        <v>63</v>
      </c>
      <c r="E133" s="81">
        <v>87.4</v>
      </c>
      <c r="F133" s="85">
        <v>4.1593268686169971</v>
      </c>
      <c r="G133" s="86">
        <v>5</v>
      </c>
    </row>
    <row r="134" spans="1:7">
      <c r="A134" s="25" t="s">
        <v>219</v>
      </c>
      <c r="B134" s="26" t="s">
        <v>35</v>
      </c>
      <c r="C134" s="15" t="s">
        <v>227</v>
      </c>
      <c r="D134" s="26">
        <v>63</v>
      </c>
      <c r="E134" s="81">
        <v>61.6</v>
      </c>
      <c r="F134" s="85">
        <v>8.9888820216977035</v>
      </c>
      <c r="G134" s="86">
        <v>5</v>
      </c>
    </row>
    <row r="135" spans="1:7">
      <c r="A135" s="25" t="s">
        <v>219</v>
      </c>
      <c r="B135" s="26" t="s">
        <v>35</v>
      </c>
      <c r="C135" s="15" t="s">
        <v>227</v>
      </c>
      <c r="D135" s="26">
        <v>63</v>
      </c>
      <c r="E135" s="81">
        <v>57.6</v>
      </c>
      <c r="F135" s="85">
        <v>3.4351128074635602</v>
      </c>
      <c r="G135" s="86">
        <v>5</v>
      </c>
    </row>
    <row r="136" spans="1:7">
      <c r="A136" s="25" t="s">
        <v>219</v>
      </c>
      <c r="B136" s="26" t="s">
        <v>35</v>
      </c>
      <c r="C136" s="15" t="s">
        <v>227</v>
      </c>
      <c r="D136" s="26">
        <v>63</v>
      </c>
      <c r="E136" s="81">
        <v>51.8</v>
      </c>
      <c r="F136" s="85">
        <v>10.449880382090496</v>
      </c>
      <c r="G136" s="86">
        <v>5</v>
      </c>
    </row>
    <row r="137" spans="1:7">
      <c r="A137" s="25" t="s">
        <v>219</v>
      </c>
      <c r="B137" s="26" t="s">
        <v>35</v>
      </c>
      <c r="C137" s="15" t="s">
        <v>227</v>
      </c>
      <c r="D137" s="26">
        <v>63</v>
      </c>
      <c r="E137" s="81">
        <v>41.4</v>
      </c>
      <c r="F137" s="85">
        <v>14.099645385611661</v>
      </c>
      <c r="G137" s="86">
        <v>5</v>
      </c>
    </row>
    <row r="138" spans="1:7">
      <c r="A138" s="25" t="s">
        <v>219</v>
      </c>
      <c r="B138" s="26" t="s">
        <v>35</v>
      </c>
      <c r="C138" s="15" t="s">
        <v>227</v>
      </c>
      <c r="D138" s="26">
        <v>63</v>
      </c>
      <c r="E138" s="81">
        <v>53</v>
      </c>
      <c r="F138" s="85">
        <v>7.7781745930520225</v>
      </c>
      <c r="G138" s="86">
        <v>5</v>
      </c>
    </row>
    <row r="139" spans="1:7">
      <c r="A139" s="25" t="s">
        <v>219</v>
      </c>
      <c r="B139" s="26" t="s">
        <v>35</v>
      </c>
      <c r="C139" s="15" t="s">
        <v>227</v>
      </c>
      <c r="D139" s="26">
        <v>63</v>
      </c>
      <c r="E139" s="81">
        <v>32.200000000000003</v>
      </c>
      <c r="F139" s="85">
        <v>7.0142711667000759</v>
      </c>
      <c r="G139" s="86">
        <v>5</v>
      </c>
    </row>
    <row r="140" spans="1:7">
      <c r="A140" s="25" t="s">
        <v>219</v>
      </c>
      <c r="B140" s="26" t="s">
        <v>35</v>
      </c>
      <c r="C140" s="15" t="s">
        <v>227</v>
      </c>
      <c r="D140" s="26">
        <v>63</v>
      </c>
      <c r="E140" s="81">
        <v>26.2</v>
      </c>
      <c r="F140" s="85">
        <v>4.7644516998286432</v>
      </c>
      <c r="G140" s="86">
        <v>5</v>
      </c>
    </row>
    <row r="141" spans="1:7">
      <c r="A141" s="25" t="s">
        <v>219</v>
      </c>
      <c r="B141" s="26" t="s">
        <v>35</v>
      </c>
      <c r="C141" s="15" t="s">
        <v>227</v>
      </c>
      <c r="D141" s="26">
        <v>63</v>
      </c>
      <c r="E141" s="81">
        <v>28.6</v>
      </c>
      <c r="F141" s="85">
        <v>11.148990985734985</v>
      </c>
      <c r="G141" s="86">
        <v>5</v>
      </c>
    </row>
    <row r="142" spans="1:7">
      <c r="A142" s="25" t="s">
        <v>219</v>
      </c>
      <c r="B142" s="26" t="s">
        <v>35</v>
      </c>
      <c r="C142" s="15" t="s">
        <v>227</v>
      </c>
      <c r="D142" s="26">
        <v>63</v>
      </c>
      <c r="E142" s="81">
        <v>14.8</v>
      </c>
      <c r="F142" s="85">
        <v>3.1937438845342605</v>
      </c>
      <c r="G142" s="86">
        <v>5</v>
      </c>
    </row>
    <row r="143" spans="1:7">
      <c r="A143" s="25" t="s">
        <v>219</v>
      </c>
      <c r="B143" s="26" t="s">
        <v>38</v>
      </c>
      <c r="C143" s="15" t="s">
        <v>227</v>
      </c>
      <c r="D143" s="26">
        <v>63</v>
      </c>
      <c r="E143" s="81">
        <v>1.2</v>
      </c>
      <c r="F143" s="85">
        <v>1.0954451150103321</v>
      </c>
      <c r="G143" s="86">
        <v>5</v>
      </c>
    </row>
    <row r="144" spans="1:7">
      <c r="A144" s="25" t="s">
        <v>219</v>
      </c>
      <c r="B144" s="26" t="s">
        <v>38</v>
      </c>
      <c r="C144" s="15" t="s">
        <v>227</v>
      </c>
      <c r="D144" s="26">
        <v>63</v>
      </c>
      <c r="E144" s="81">
        <v>0</v>
      </c>
      <c r="F144" s="85">
        <v>0</v>
      </c>
      <c r="G144" s="86">
        <v>5</v>
      </c>
    </row>
    <row r="145" spans="1:7">
      <c r="A145" s="25" t="s">
        <v>219</v>
      </c>
      <c r="B145" s="26" t="s">
        <v>38</v>
      </c>
      <c r="C145" s="15" t="s">
        <v>227</v>
      </c>
      <c r="D145" s="26">
        <v>63</v>
      </c>
      <c r="E145" s="81">
        <v>0.2</v>
      </c>
      <c r="F145" s="85">
        <v>0.44721359549995793</v>
      </c>
      <c r="G145" s="86">
        <v>5</v>
      </c>
    </row>
    <row r="146" spans="1:7">
      <c r="A146" s="25" t="s">
        <v>219</v>
      </c>
      <c r="B146" s="26" t="s">
        <v>38</v>
      </c>
      <c r="C146" s="15" t="s">
        <v>227</v>
      </c>
      <c r="D146" s="26">
        <v>63</v>
      </c>
      <c r="E146" s="81">
        <v>0.4</v>
      </c>
      <c r="F146" s="85">
        <v>0.54772255750516607</v>
      </c>
      <c r="G146" s="86">
        <v>5</v>
      </c>
    </row>
    <row r="147" spans="1:7">
      <c r="A147" s="25" t="s">
        <v>219</v>
      </c>
      <c r="B147" s="26" t="s">
        <v>38</v>
      </c>
      <c r="C147" s="15" t="s">
        <v>227</v>
      </c>
      <c r="D147" s="26">
        <v>63</v>
      </c>
      <c r="E147" s="81">
        <v>0</v>
      </c>
      <c r="F147" s="85">
        <v>0</v>
      </c>
      <c r="G147" s="86">
        <v>5</v>
      </c>
    </row>
    <row r="148" spans="1:7">
      <c r="A148" s="25" t="s">
        <v>219</v>
      </c>
      <c r="B148" s="26" t="s">
        <v>38</v>
      </c>
      <c r="C148" s="15" t="s">
        <v>227</v>
      </c>
      <c r="D148" s="26">
        <v>63</v>
      </c>
      <c r="E148" s="81">
        <v>1</v>
      </c>
      <c r="F148" s="85">
        <v>1.4142135623730951</v>
      </c>
      <c r="G148" s="86">
        <v>5</v>
      </c>
    </row>
    <row r="149" spans="1:7">
      <c r="A149" s="25" t="s">
        <v>219</v>
      </c>
      <c r="B149" s="26" t="s">
        <v>38</v>
      </c>
      <c r="C149" s="15" t="s">
        <v>227</v>
      </c>
      <c r="D149" s="26">
        <v>63</v>
      </c>
      <c r="E149" s="81">
        <v>0.4</v>
      </c>
      <c r="F149" s="81">
        <v>0.54772255750516607</v>
      </c>
      <c r="G149" s="89">
        <v>5</v>
      </c>
    </row>
    <row r="150" spans="1:7">
      <c r="A150" s="25" t="s">
        <v>219</v>
      </c>
      <c r="B150" s="78" t="s">
        <v>38</v>
      </c>
      <c r="C150" s="15" t="s">
        <v>227</v>
      </c>
      <c r="D150" s="78">
        <v>63</v>
      </c>
      <c r="E150" s="81">
        <v>0.2</v>
      </c>
      <c r="F150" s="81">
        <v>0.44721359549995793</v>
      </c>
      <c r="G150" s="89">
        <v>5</v>
      </c>
    </row>
    <row r="151" spans="1:7">
      <c r="A151" s="25" t="s">
        <v>219</v>
      </c>
      <c r="B151" s="26" t="s">
        <v>38</v>
      </c>
      <c r="C151" s="15" t="s">
        <v>227</v>
      </c>
      <c r="D151" s="26">
        <v>63</v>
      </c>
      <c r="E151" s="81">
        <v>1.6</v>
      </c>
      <c r="F151" s="81">
        <v>1.1401754250991378</v>
      </c>
      <c r="G151" s="89">
        <v>5</v>
      </c>
    </row>
    <row r="152" spans="1:7">
      <c r="A152" s="25" t="s">
        <v>219</v>
      </c>
      <c r="B152" s="26" t="s">
        <v>38</v>
      </c>
      <c r="C152" s="15" t="s">
        <v>227</v>
      </c>
      <c r="D152" s="26">
        <v>63</v>
      </c>
      <c r="E152" s="81">
        <v>1</v>
      </c>
      <c r="F152" s="81">
        <v>1</v>
      </c>
      <c r="G152" s="89">
        <v>5</v>
      </c>
    </row>
    <row r="153" spans="1:7">
      <c r="A153" s="13" t="s">
        <v>220</v>
      </c>
      <c r="B153" s="14" t="s">
        <v>35</v>
      </c>
      <c r="C153" s="15" t="s">
        <v>227</v>
      </c>
      <c r="D153" s="14">
        <v>63</v>
      </c>
      <c r="E153" s="108">
        <v>50.2</v>
      </c>
      <c r="F153" s="109">
        <v>16.346238626636548</v>
      </c>
      <c r="G153" s="109">
        <v>5</v>
      </c>
    </row>
    <row r="154" spans="1:7">
      <c r="A154" s="13" t="s">
        <v>220</v>
      </c>
      <c r="B154" s="14" t="s">
        <v>35</v>
      </c>
      <c r="C154" s="15" t="s">
        <v>227</v>
      </c>
      <c r="D154" s="14">
        <v>63</v>
      </c>
      <c r="E154" s="108">
        <v>48.6</v>
      </c>
      <c r="F154" s="109">
        <v>4.8785199599444988</v>
      </c>
      <c r="G154" s="109">
        <v>5</v>
      </c>
    </row>
    <row r="155" spans="1:7">
      <c r="A155" s="13" t="s">
        <v>220</v>
      </c>
      <c r="B155" s="14" t="s">
        <v>35</v>
      </c>
      <c r="C155" s="15" t="s">
        <v>227</v>
      </c>
      <c r="D155" s="14">
        <v>63</v>
      </c>
      <c r="E155" s="108">
        <v>45.8</v>
      </c>
      <c r="F155" s="109">
        <v>8.8712940324128819</v>
      </c>
      <c r="G155" s="109">
        <v>5</v>
      </c>
    </row>
    <row r="156" spans="1:7">
      <c r="A156" s="13" t="s">
        <v>220</v>
      </c>
      <c r="B156" s="14" t="s">
        <v>35</v>
      </c>
      <c r="C156" s="15" t="s">
        <v>227</v>
      </c>
      <c r="D156" s="14">
        <v>63</v>
      </c>
      <c r="E156" s="108">
        <v>39.799999999999997</v>
      </c>
      <c r="F156" s="109">
        <v>7.6941466739960127</v>
      </c>
      <c r="G156" s="109">
        <v>5</v>
      </c>
    </row>
    <row r="157" spans="1:7">
      <c r="A157" s="13" t="s">
        <v>220</v>
      </c>
      <c r="B157" s="14" t="s">
        <v>35</v>
      </c>
      <c r="C157" s="15" t="s">
        <v>227</v>
      </c>
      <c r="D157" s="14">
        <v>63</v>
      </c>
      <c r="E157" s="108">
        <v>23.2</v>
      </c>
      <c r="F157" s="109">
        <v>7.155411064005178</v>
      </c>
      <c r="G157" s="109">
        <v>5</v>
      </c>
    </row>
    <row r="158" spans="1:7">
      <c r="A158" s="13" t="s">
        <v>220</v>
      </c>
      <c r="B158" s="14" t="s">
        <v>35</v>
      </c>
      <c r="C158" s="15" t="s">
        <v>227</v>
      </c>
      <c r="D158" s="14">
        <v>63</v>
      </c>
      <c r="E158" s="108">
        <v>23.6</v>
      </c>
      <c r="F158" s="109">
        <v>4.3931725586310382</v>
      </c>
      <c r="G158" s="109">
        <v>5</v>
      </c>
    </row>
    <row r="159" spans="1:7">
      <c r="A159" s="13" t="s">
        <v>220</v>
      </c>
      <c r="B159" s="14" t="s">
        <v>35</v>
      </c>
      <c r="C159" s="15" t="s">
        <v>227</v>
      </c>
      <c r="D159" s="14">
        <v>63</v>
      </c>
      <c r="E159" s="108">
        <v>25.6</v>
      </c>
      <c r="F159" s="109">
        <v>3.6469132112447689</v>
      </c>
      <c r="G159" s="109">
        <v>5</v>
      </c>
    </row>
    <row r="160" spans="1:7">
      <c r="A160" s="13" t="s">
        <v>220</v>
      </c>
      <c r="B160" s="14" t="s">
        <v>35</v>
      </c>
      <c r="C160" s="15" t="s">
        <v>227</v>
      </c>
      <c r="D160" s="14">
        <v>63</v>
      </c>
      <c r="E160" s="108">
        <v>15.8</v>
      </c>
      <c r="F160" s="109">
        <v>1.6431661881260535</v>
      </c>
      <c r="G160" s="109">
        <v>5</v>
      </c>
    </row>
    <row r="161" spans="1:7">
      <c r="A161" s="13" t="s">
        <v>220</v>
      </c>
      <c r="B161" s="14" t="s">
        <v>35</v>
      </c>
      <c r="C161" s="15" t="s">
        <v>227</v>
      </c>
      <c r="D161" s="14">
        <v>63</v>
      </c>
      <c r="E161" s="108">
        <v>10.4</v>
      </c>
      <c r="F161" s="109">
        <v>2.7018487764481827</v>
      </c>
      <c r="G161" s="109">
        <v>5</v>
      </c>
    </row>
    <row r="162" spans="1:7">
      <c r="A162" s="13" t="s">
        <v>220</v>
      </c>
      <c r="B162" s="14" t="s">
        <v>35</v>
      </c>
      <c r="C162" s="15" t="s">
        <v>227</v>
      </c>
      <c r="D162" s="14">
        <v>63</v>
      </c>
      <c r="E162" s="108">
        <v>5.4</v>
      </c>
      <c r="F162" s="109">
        <v>0.89442638300064525</v>
      </c>
      <c r="G162" s="109">
        <v>5</v>
      </c>
    </row>
    <row r="163" spans="1:7">
      <c r="A163" s="13" t="s">
        <v>220</v>
      </c>
      <c r="B163" s="14" t="s">
        <v>38</v>
      </c>
      <c r="C163" s="15" t="s">
        <v>227</v>
      </c>
      <c r="D163" s="14">
        <v>63</v>
      </c>
      <c r="E163" s="108">
        <v>0.8</v>
      </c>
      <c r="F163" s="108">
        <v>0.83666002653407556</v>
      </c>
      <c r="G163" s="109">
        <v>5</v>
      </c>
    </row>
    <row r="164" spans="1:7">
      <c r="A164" s="13" t="s">
        <v>220</v>
      </c>
      <c r="B164" s="14" t="s">
        <v>38</v>
      </c>
      <c r="C164" s="15" t="s">
        <v>227</v>
      </c>
      <c r="D164" s="14">
        <v>63</v>
      </c>
      <c r="E164" s="108">
        <v>0.4</v>
      </c>
      <c r="F164" s="108">
        <v>0.54772255750516607</v>
      </c>
      <c r="G164" s="109">
        <v>5</v>
      </c>
    </row>
    <row r="165" spans="1:7">
      <c r="A165" s="13" t="s">
        <v>220</v>
      </c>
      <c r="B165" s="14" t="s">
        <v>38</v>
      </c>
      <c r="C165" s="15" t="s">
        <v>227</v>
      </c>
      <c r="D165" s="14">
        <v>63</v>
      </c>
      <c r="E165" s="108">
        <v>0.4</v>
      </c>
      <c r="F165" s="108">
        <v>0.54772255750516607</v>
      </c>
      <c r="G165" s="109">
        <v>5</v>
      </c>
    </row>
    <row r="166" spans="1:7">
      <c r="A166" s="13" t="s">
        <v>220</v>
      </c>
      <c r="B166" s="14" t="s">
        <v>38</v>
      </c>
      <c r="C166" s="15" t="s">
        <v>227</v>
      </c>
      <c r="D166" s="14">
        <v>63</v>
      </c>
      <c r="E166" s="108">
        <v>0.8</v>
      </c>
      <c r="F166" s="108">
        <v>0.83666002653407556</v>
      </c>
      <c r="G166" s="109">
        <v>5</v>
      </c>
    </row>
    <row r="167" spans="1:7">
      <c r="A167" s="13" t="s">
        <v>220</v>
      </c>
      <c r="B167" s="14" t="s">
        <v>38</v>
      </c>
      <c r="C167" s="15" t="s">
        <v>227</v>
      </c>
      <c r="D167" s="14">
        <v>63</v>
      </c>
      <c r="E167" s="108">
        <v>0.6</v>
      </c>
      <c r="F167" s="108">
        <v>0.89442719099991586</v>
      </c>
      <c r="G167" s="109">
        <v>5</v>
      </c>
    </row>
    <row r="168" spans="1:7">
      <c r="A168" s="13" t="s">
        <v>220</v>
      </c>
      <c r="B168" s="14" t="s">
        <v>38</v>
      </c>
      <c r="C168" s="15" t="s">
        <v>227</v>
      </c>
      <c r="D168" s="14">
        <v>63</v>
      </c>
      <c r="E168" s="108">
        <v>1</v>
      </c>
      <c r="F168" s="108">
        <v>0.70710678118654757</v>
      </c>
      <c r="G168" s="109">
        <v>5</v>
      </c>
    </row>
    <row r="169" spans="1:7">
      <c r="A169" s="13" t="s">
        <v>220</v>
      </c>
      <c r="B169" s="14" t="s">
        <v>38</v>
      </c>
      <c r="C169" s="15" t="s">
        <v>227</v>
      </c>
      <c r="D169" s="14">
        <v>63</v>
      </c>
      <c r="E169" s="108">
        <v>0.8</v>
      </c>
      <c r="F169" s="108">
        <v>0.83666002653407556</v>
      </c>
      <c r="G169" s="109">
        <v>5</v>
      </c>
    </row>
    <row r="170" spans="1:7">
      <c r="A170" s="13" t="s">
        <v>220</v>
      </c>
      <c r="B170" s="14" t="s">
        <v>38</v>
      </c>
      <c r="C170" s="15" t="s">
        <v>227</v>
      </c>
      <c r="D170" s="14">
        <v>63</v>
      </c>
      <c r="E170" s="108">
        <v>0.8</v>
      </c>
      <c r="F170" s="108">
        <v>0.83666002653407556</v>
      </c>
      <c r="G170" s="109">
        <v>5</v>
      </c>
    </row>
    <row r="171" spans="1:7">
      <c r="A171" s="13" t="s">
        <v>220</v>
      </c>
      <c r="B171" s="14" t="s">
        <v>38</v>
      </c>
      <c r="C171" s="15" t="s">
        <v>227</v>
      </c>
      <c r="D171" s="14">
        <v>63</v>
      </c>
      <c r="E171" s="108">
        <v>0.8</v>
      </c>
      <c r="F171" s="149">
        <v>1.3038404810405297</v>
      </c>
      <c r="G171" s="109">
        <v>5</v>
      </c>
    </row>
    <row r="172" spans="1:7">
      <c r="A172" s="13" t="s">
        <v>220</v>
      </c>
      <c r="B172" s="14" t="s">
        <v>38</v>
      </c>
      <c r="C172" s="15" t="s">
        <v>227</v>
      </c>
      <c r="D172" s="14">
        <v>63</v>
      </c>
      <c r="E172" s="108">
        <v>0.8</v>
      </c>
      <c r="F172" s="149">
        <v>1.3038404810405297</v>
      </c>
      <c r="G172" s="109">
        <v>5</v>
      </c>
    </row>
    <row r="173" spans="1:7">
      <c r="A173" s="116" t="s">
        <v>221</v>
      </c>
      <c r="B173" s="26" t="s">
        <v>35</v>
      </c>
      <c r="C173" s="15" t="s">
        <v>227</v>
      </c>
      <c r="D173" s="26">
        <v>56</v>
      </c>
      <c r="E173" s="82">
        <v>34.533333333333339</v>
      </c>
      <c r="F173" s="145">
        <v>11.550853744300548</v>
      </c>
      <c r="G173" s="89">
        <v>5</v>
      </c>
    </row>
    <row r="174" spans="1:7">
      <c r="A174" s="116" t="s">
        <v>221</v>
      </c>
      <c r="B174" s="26" t="s">
        <v>35</v>
      </c>
      <c r="C174" s="15" t="s">
        <v>227</v>
      </c>
      <c r="D174" s="26">
        <v>56</v>
      </c>
      <c r="E174" s="82">
        <v>24</v>
      </c>
      <c r="F174" s="145">
        <v>7.0237691685684949</v>
      </c>
      <c r="G174" s="89">
        <v>5</v>
      </c>
    </row>
    <row r="175" spans="1:7">
      <c r="A175" s="116" t="s">
        <v>221</v>
      </c>
      <c r="B175" s="26" t="s">
        <v>35</v>
      </c>
      <c r="C175" s="15" t="s">
        <v>227</v>
      </c>
      <c r="D175" s="26">
        <v>56</v>
      </c>
      <c r="E175" s="82">
        <v>27.866666666666667</v>
      </c>
      <c r="F175" s="145">
        <v>7.3996996936061858</v>
      </c>
      <c r="G175" s="89">
        <v>5</v>
      </c>
    </row>
    <row r="176" spans="1:7">
      <c r="A176" s="116" t="s">
        <v>221</v>
      </c>
      <c r="B176" s="26" t="s">
        <v>35</v>
      </c>
      <c r="C176" s="15" t="s">
        <v>227</v>
      </c>
      <c r="D176" s="26">
        <v>56</v>
      </c>
      <c r="E176" s="123">
        <v>28.533333333333339</v>
      </c>
      <c r="F176" s="145">
        <v>6.1355068612498549</v>
      </c>
      <c r="G176" s="89">
        <v>5</v>
      </c>
    </row>
    <row r="177" spans="1:7">
      <c r="A177" s="116" t="s">
        <v>221</v>
      </c>
      <c r="B177" s="26" t="s">
        <v>35</v>
      </c>
      <c r="C177" s="15" t="s">
        <v>227</v>
      </c>
      <c r="D177" s="26">
        <v>56</v>
      </c>
      <c r="E177" s="82">
        <v>25.6</v>
      </c>
      <c r="F177" s="145">
        <v>13.313318310791059</v>
      </c>
      <c r="G177" s="89">
        <v>5</v>
      </c>
    </row>
    <row r="178" spans="1:7">
      <c r="A178" s="116" t="s">
        <v>221</v>
      </c>
      <c r="B178" s="26" t="s">
        <v>35</v>
      </c>
      <c r="C178" s="15" t="s">
        <v>227</v>
      </c>
      <c r="D178" s="26">
        <v>56</v>
      </c>
      <c r="E178" s="82">
        <v>30</v>
      </c>
      <c r="F178" s="145">
        <v>2.8674417556808667</v>
      </c>
      <c r="G178" s="89">
        <v>5</v>
      </c>
    </row>
    <row r="179" spans="1:7">
      <c r="A179" s="116" t="s">
        <v>221</v>
      </c>
      <c r="B179" s="26" t="s">
        <v>38</v>
      </c>
      <c r="C179" s="15" t="s">
        <v>227</v>
      </c>
      <c r="D179" s="26">
        <v>56</v>
      </c>
      <c r="E179" s="81">
        <v>0</v>
      </c>
      <c r="F179" s="146">
        <v>0</v>
      </c>
      <c r="G179" s="89">
        <v>5</v>
      </c>
    </row>
    <row r="180" spans="1:7">
      <c r="A180" s="116" t="s">
        <v>221</v>
      </c>
      <c r="B180" s="26" t="s">
        <v>38</v>
      </c>
      <c r="C180" s="15" t="s">
        <v>227</v>
      </c>
      <c r="D180" s="26">
        <v>56</v>
      </c>
      <c r="E180" s="81">
        <v>0.2</v>
      </c>
      <c r="F180" s="145">
        <v>0.44721359549995793</v>
      </c>
      <c r="G180" s="89">
        <v>5</v>
      </c>
    </row>
    <row r="181" spans="1:7">
      <c r="A181" s="116" t="s">
        <v>221</v>
      </c>
      <c r="B181" s="26" t="s">
        <v>38</v>
      </c>
      <c r="C181" s="15" t="s">
        <v>227</v>
      </c>
      <c r="D181" s="26">
        <v>56</v>
      </c>
      <c r="E181" s="81">
        <v>0.4</v>
      </c>
      <c r="F181" s="145">
        <v>0.89442719099991586</v>
      </c>
      <c r="G181" s="89">
        <v>5</v>
      </c>
    </row>
    <row r="182" spans="1:7">
      <c r="A182" s="116" t="s">
        <v>221</v>
      </c>
      <c r="B182" s="78" t="s">
        <v>38</v>
      </c>
      <c r="C182" s="15" t="s">
        <v>227</v>
      </c>
      <c r="D182" s="78">
        <v>56</v>
      </c>
      <c r="E182" s="124">
        <v>0.6</v>
      </c>
      <c r="F182" s="145">
        <v>0.89442719099991586</v>
      </c>
      <c r="G182" s="129">
        <v>5</v>
      </c>
    </row>
    <row r="183" spans="1:7">
      <c r="A183" s="116" t="s">
        <v>221</v>
      </c>
      <c r="B183" s="26" t="s">
        <v>38</v>
      </c>
      <c r="C183" s="15" t="s">
        <v>227</v>
      </c>
      <c r="D183" s="26">
        <v>56</v>
      </c>
      <c r="E183" s="81">
        <v>0.4</v>
      </c>
      <c r="F183" s="148">
        <v>0.54772255750516607</v>
      </c>
      <c r="G183" s="89">
        <v>5</v>
      </c>
    </row>
    <row r="184" spans="1:7">
      <c r="A184" s="116" t="s">
        <v>221</v>
      </c>
      <c r="B184" s="26" t="s">
        <v>38</v>
      </c>
      <c r="C184" s="15" t="s">
        <v>227</v>
      </c>
      <c r="D184" s="26">
        <v>56</v>
      </c>
      <c r="E184" s="81">
        <v>0</v>
      </c>
      <c r="F184" s="148">
        <v>0</v>
      </c>
      <c r="G184" s="89">
        <v>5</v>
      </c>
    </row>
    <row r="185" spans="1:7">
      <c r="A185" s="116" t="s">
        <v>215</v>
      </c>
      <c r="B185" s="26" t="s">
        <v>35</v>
      </c>
      <c r="C185" s="15" t="s">
        <v>227</v>
      </c>
      <c r="D185" s="15" t="s">
        <v>132</v>
      </c>
      <c r="E185" s="27">
        <v>58.1</v>
      </c>
      <c r="F185" s="15" t="s">
        <v>132</v>
      </c>
      <c r="G185" s="27">
        <v>4</v>
      </c>
    </row>
    <row r="186" spans="1:7">
      <c r="A186" s="116" t="s">
        <v>215</v>
      </c>
      <c r="B186" s="26" t="s">
        <v>38</v>
      </c>
      <c r="C186" s="15" t="s">
        <v>227</v>
      </c>
      <c r="D186" s="15" t="s">
        <v>132</v>
      </c>
      <c r="E186" s="27">
        <v>16.3</v>
      </c>
      <c r="F186" s="15" t="s">
        <v>132</v>
      </c>
      <c r="G186" s="27">
        <v>4</v>
      </c>
    </row>
    <row r="187" spans="1:7">
      <c r="A187" s="116" t="s">
        <v>215</v>
      </c>
      <c r="B187" s="26" t="s">
        <v>35</v>
      </c>
      <c r="C187" s="15" t="s">
        <v>227</v>
      </c>
      <c r="D187" s="15" t="s">
        <v>132</v>
      </c>
      <c r="E187" s="27">
        <v>65.7</v>
      </c>
      <c r="F187" s="15" t="s">
        <v>132</v>
      </c>
      <c r="G187" s="27">
        <v>4</v>
      </c>
    </row>
    <row r="188" spans="1:7">
      <c r="A188" s="116" t="s">
        <v>215</v>
      </c>
      <c r="B188" s="26" t="s">
        <v>38</v>
      </c>
      <c r="C188" s="15" t="s">
        <v>227</v>
      </c>
      <c r="D188" s="15" t="s">
        <v>132</v>
      </c>
      <c r="E188" s="27">
        <v>6.7</v>
      </c>
      <c r="F188" s="15" t="s">
        <v>132</v>
      </c>
      <c r="G188" s="27">
        <v>4</v>
      </c>
    </row>
    <row r="189" spans="1:7">
      <c r="A189" s="116" t="s">
        <v>215</v>
      </c>
      <c r="B189" s="26" t="s">
        <v>35</v>
      </c>
      <c r="C189" s="15" t="s">
        <v>227</v>
      </c>
      <c r="D189" s="15" t="s">
        <v>132</v>
      </c>
      <c r="E189" s="27">
        <v>93.3</v>
      </c>
      <c r="F189" s="15" t="s">
        <v>132</v>
      </c>
      <c r="G189" s="27">
        <v>4</v>
      </c>
    </row>
    <row r="190" spans="1:7">
      <c r="A190" s="116" t="s">
        <v>215</v>
      </c>
      <c r="B190" s="26" t="s">
        <v>38</v>
      </c>
      <c r="C190" s="15" t="s">
        <v>227</v>
      </c>
      <c r="D190" s="15" t="s">
        <v>132</v>
      </c>
      <c r="E190" s="136">
        <v>29</v>
      </c>
      <c r="F190" s="15" t="s">
        <v>132</v>
      </c>
      <c r="G190" s="27">
        <v>4</v>
      </c>
    </row>
    <row r="191" spans="1:7">
      <c r="A191" s="68" t="s">
        <v>223</v>
      </c>
      <c r="B191" s="14" t="s">
        <v>35</v>
      </c>
      <c r="C191" s="15" t="s">
        <v>227</v>
      </c>
      <c r="D191" s="14">
        <v>84</v>
      </c>
      <c r="E191" s="15">
        <v>28</v>
      </c>
      <c r="F191" s="15" t="s">
        <v>132</v>
      </c>
      <c r="G191" s="15">
        <v>10</v>
      </c>
    </row>
    <row r="192" spans="1:7">
      <c r="A192" s="68" t="s">
        <v>223</v>
      </c>
      <c r="B192" s="14" t="s">
        <v>38</v>
      </c>
      <c r="C192" s="15" t="s">
        <v>227</v>
      </c>
      <c r="D192" s="14">
        <v>84</v>
      </c>
      <c r="E192" s="15">
        <v>0</v>
      </c>
      <c r="F192" s="15" t="s">
        <v>132</v>
      </c>
      <c r="G192" s="15">
        <v>10</v>
      </c>
    </row>
    <row r="193" spans="1:7">
      <c r="A193" s="116" t="s">
        <v>224</v>
      </c>
      <c r="B193" s="26" t="s">
        <v>35</v>
      </c>
      <c r="C193" s="15" t="s">
        <v>227</v>
      </c>
      <c r="D193" s="26">
        <v>70</v>
      </c>
      <c r="E193" s="27">
        <v>52.25</v>
      </c>
      <c r="F193" s="27">
        <v>8</v>
      </c>
      <c r="G193" s="27">
        <v>4</v>
      </c>
    </row>
    <row r="194" spans="1:7">
      <c r="A194" s="116" t="s">
        <v>224</v>
      </c>
      <c r="B194" s="26" t="s">
        <v>38</v>
      </c>
      <c r="C194" s="15" t="s">
        <v>227</v>
      </c>
      <c r="D194" s="26">
        <v>70</v>
      </c>
      <c r="E194" s="27">
        <v>0</v>
      </c>
      <c r="F194" s="27">
        <v>8</v>
      </c>
      <c r="G194" s="27">
        <v>3</v>
      </c>
    </row>
  </sheetData>
  <sortState ref="A2:G194">
    <sortCondition ref="C2:C194"/>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2"/>
  <sheetViews>
    <sheetView topLeftCell="A14" workbookViewId="0">
      <selection activeCell="M14" sqref="M14:M16"/>
    </sheetView>
  </sheetViews>
  <sheetFormatPr baseColWidth="10" defaultRowHeight="16"/>
  <cols>
    <col min="1" max="1" width="10.83203125" style="152"/>
    <col min="2" max="2" width="15.6640625" style="150" customWidth="1"/>
    <col min="3" max="9" width="10.83203125" style="150"/>
    <col min="10" max="12" width="10.83203125" style="152"/>
    <col min="13" max="16" width="10.83203125" style="150"/>
  </cols>
  <sheetData>
    <row r="1" spans="1:16">
      <c r="A1" s="185" t="s">
        <v>170</v>
      </c>
      <c r="B1" s="186" t="s">
        <v>112</v>
      </c>
      <c r="C1" s="186" t="s">
        <v>113</v>
      </c>
      <c r="D1" s="186" t="s">
        <v>114</v>
      </c>
      <c r="E1" s="186" t="s">
        <v>225</v>
      </c>
      <c r="F1" s="186" t="s">
        <v>232</v>
      </c>
      <c r="G1" s="186" t="s">
        <v>226</v>
      </c>
      <c r="H1" s="186" t="s">
        <v>236</v>
      </c>
      <c r="I1" s="186" t="s">
        <v>170</v>
      </c>
      <c r="J1" s="186" t="s">
        <v>237</v>
      </c>
      <c r="K1" s="186" t="s">
        <v>238</v>
      </c>
      <c r="L1" s="186" t="s">
        <v>286</v>
      </c>
      <c r="M1" s="186" t="s">
        <v>115</v>
      </c>
      <c r="N1" s="186" t="s">
        <v>116</v>
      </c>
      <c r="O1" s="186" t="s">
        <v>117</v>
      </c>
      <c r="P1" s="186" t="s">
        <v>118</v>
      </c>
    </row>
    <row r="2" spans="1:16">
      <c r="A2" s="185">
        <v>1</v>
      </c>
      <c r="B2" s="186" t="s">
        <v>119</v>
      </c>
      <c r="C2" s="186">
        <v>3</v>
      </c>
      <c r="D2" s="186">
        <v>3</v>
      </c>
      <c r="E2" s="186" t="s">
        <v>233</v>
      </c>
      <c r="F2" s="186" t="s">
        <v>229</v>
      </c>
      <c r="G2" s="186">
        <v>42</v>
      </c>
      <c r="H2" s="186" t="s">
        <v>234</v>
      </c>
      <c r="I2" s="186" t="s">
        <v>136</v>
      </c>
      <c r="J2" s="186" t="s">
        <v>132</v>
      </c>
      <c r="K2" s="186" t="s">
        <v>132</v>
      </c>
      <c r="L2" s="186" t="s">
        <v>132</v>
      </c>
      <c r="M2" s="186">
        <v>0</v>
      </c>
      <c r="N2" s="186">
        <v>42.1</v>
      </c>
      <c r="O2" s="186">
        <v>0</v>
      </c>
      <c r="P2" s="186">
        <v>16</v>
      </c>
    </row>
    <row r="3" spans="1:16">
      <c r="A3" s="185">
        <v>2</v>
      </c>
      <c r="B3" s="186" t="s">
        <v>119</v>
      </c>
      <c r="C3" s="186">
        <v>3</v>
      </c>
      <c r="D3" s="186">
        <v>3</v>
      </c>
      <c r="E3" s="186" t="s">
        <v>233</v>
      </c>
      <c r="F3" s="186" t="s">
        <v>229</v>
      </c>
      <c r="G3" s="186">
        <v>42</v>
      </c>
      <c r="H3" s="186" t="s">
        <v>234</v>
      </c>
      <c r="I3" s="186" t="s">
        <v>136</v>
      </c>
      <c r="J3" s="186" t="s">
        <v>132</v>
      </c>
      <c r="K3" s="186" t="s">
        <v>132</v>
      </c>
      <c r="L3" s="186" t="s">
        <v>132</v>
      </c>
      <c r="M3" s="186">
        <v>9.3000000000000007</v>
      </c>
      <c r="N3" s="186">
        <v>29.5</v>
      </c>
      <c r="O3" s="186">
        <v>2</v>
      </c>
      <c r="P3" s="186">
        <v>18</v>
      </c>
    </row>
    <row r="4" spans="1:16">
      <c r="A4" s="185">
        <v>3</v>
      </c>
      <c r="B4" s="186" t="s">
        <v>120</v>
      </c>
      <c r="C4" s="186">
        <v>5</v>
      </c>
      <c r="D4" s="186">
        <v>5</v>
      </c>
      <c r="E4" s="186" t="s">
        <v>231</v>
      </c>
      <c r="F4" s="186" t="s">
        <v>231</v>
      </c>
      <c r="G4" s="186">
        <v>63</v>
      </c>
      <c r="H4" s="186" t="s">
        <v>234</v>
      </c>
      <c r="I4" s="186" t="s">
        <v>136</v>
      </c>
      <c r="J4" s="186" t="s">
        <v>239</v>
      </c>
      <c r="K4" s="186" t="s">
        <v>239</v>
      </c>
      <c r="L4" s="186" t="s">
        <v>284</v>
      </c>
      <c r="M4" s="186">
        <v>1</v>
      </c>
      <c r="N4" s="186">
        <v>72</v>
      </c>
      <c r="O4" s="186">
        <v>0</v>
      </c>
      <c r="P4" s="186">
        <v>9</v>
      </c>
    </row>
    <row r="5" spans="1:16">
      <c r="A5" s="185">
        <v>4</v>
      </c>
      <c r="B5" s="186" t="s">
        <v>120</v>
      </c>
      <c r="C5" s="186">
        <v>5</v>
      </c>
      <c r="D5" s="186">
        <v>5</v>
      </c>
      <c r="E5" s="186" t="s">
        <v>231</v>
      </c>
      <c r="F5" s="186" t="s">
        <v>231</v>
      </c>
      <c r="G5" s="186">
        <v>63</v>
      </c>
      <c r="H5" s="186" t="s">
        <v>234</v>
      </c>
      <c r="I5" s="186" t="s">
        <v>136</v>
      </c>
      <c r="J5" s="186" t="s">
        <v>239</v>
      </c>
      <c r="K5" s="186" t="s">
        <v>239</v>
      </c>
      <c r="L5" s="186" t="s">
        <v>284</v>
      </c>
      <c r="M5" s="186">
        <v>3</v>
      </c>
      <c r="N5" s="186">
        <v>62</v>
      </c>
      <c r="O5" s="186">
        <v>1</v>
      </c>
      <c r="P5" s="186">
        <v>4</v>
      </c>
    </row>
    <row r="6" spans="1:16">
      <c r="A6" s="185">
        <v>5</v>
      </c>
      <c r="B6" s="186" t="s">
        <v>120</v>
      </c>
      <c r="C6" s="186">
        <v>5</v>
      </c>
      <c r="D6" s="186">
        <v>5</v>
      </c>
      <c r="E6" s="186" t="s">
        <v>231</v>
      </c>
      <c r="F6" s="186" t="s">
        <v>231</v>
      </c>
      <c r="G6" s="186">
        <v>63</v>
      </c>
      <c r="H6" s="186" t="s">
        <v>234</v>
      </c>
      <c r="I6" s="186" t="s">
        <v>136</v>
      </c>
      <c r="J6" s="186" t="s">
        <v>239</v>
      </c>
      <c r="K6" s="186" t="s">
        <v>239</v>
      </c>
      <c r="L6" s="186" t="s">
        <v>284</v>
      </c>
      <c r="M6" s="186">
        <v>1</v>
      </c>
      <c r="N6" s="186">
        <v>66</v>
      </c>
      <c r="O6" s="186">
        <v>1</v>
      </c>
      <c r="P6" s="186">
        <v>9</v>
      </c>
    </row>
    <row r="7" spans="1:16">
      <c r="A7" s="185">
        <v>6</v>
      </c>
      <c r="B7" s="186" t="s">
        <v>120</v>
      </c>
      <c r="C7" s="186">
        <v>5</v>
      </c>
      <c r="D7" s="186">
        <v>5</v>
      </c>
      <c r="E7" s="186" t="s">
        <v>231</v>
      </c>
      <c r="F7" s="186" t="s">
        <v>231</v>
      </c>
      <c r="G7" s="186">
        <v>63</v>
      </c>
      <c r="H7" s="186" t="s">
        <v>234</v>
      </c>
      <c r="I7" s="186" t="s">
        <v>136</v>
      </c>
      <c r="J7" s="186" t="s">
        <v>239</v>
      </c>
      <c r="K7" s="186" t="s">
        <v>239</v>
      </c>
      <c r="L7" s="186" t="s">
        <v>284</v>
      </c>
      <c r="M7" s="186">
        <v>0</v>
      </c>
      <c r="N7" s="186">
        <v>30</v>
      </c>
      <c r="O7" s="186">
        <v>0</v>
      </c>
      <c r="P7" s="186">
        <v>13</v>
      </c>
    </row>
    <row r="8" spans="1:16">
      <c r="A8" s="185">
        <v>7</v>
      </c>
      <c r="B8" s="186" t="s">
        <v>120</v>
      </c>
      <c r="C8" s="186">
        <v>5</v>
      </c>
      <c r="D8" s="186">
        <v>5</v>
      </c>
      <c r="E8" s="186" t="s">
        <v>231</v>
      </c>
      <c r="F8" s="186" t="s">
        <v>231</v>
      </c>
      <c r="G8" s="186">
        <v>63</v>
      </c>
      <c r="H8" s="186" t="s">
        <v>234</v>
      </c>
      <c r="I8" s="186" t="s">
        <v>136</v>
      </c>
      <c r="J8" s="186" t="s">
        <v>239</v>
      </c>
      <c r="K8" s="186" t="s">
        <v>239</v>
      </c>
      <c r="L8" s="186" t="s">
        <v>284</v>
      </c>
      <c r="M8" s="186">
        <v>0</v>
      </c>
      <c r="N8" s="186">
        <v>26</v>
      </c>
      <c r="O8" s="186">
        <v>0</v>
      </c>
      <c r="P8" s="186">
        <v>11</v>
      </c>
    </row>
    <row r="9" spans="1:16">
      <c r="A9" s="185">
        <v>8</v>
      </c>
      <c r="B9" s="186" t="s">
        <v>120</v>
      </c>
      <c r="C9" s="186">
        <v>5</v>
      </c>
      <c r="D9" s="186">
        <v>5</v>
      </c>
      <c r="E9" s="186" t="s">
        <v>231</v>
      </c>
      <c r="F9" s="186" t="s">
        <v>231</v>
      </c>
      <c r="G9" s="186">
        <v>63</v>
      </c>
      <c r="H9" s="186" t="s">
        <v>234</v>
      </c>
      <c r="I9" s="186" t="s">
        <v>136</v>
      </c>
      <c r="J9" s="186" t="s">
        <v>239</v>
      </c>
      <c r="K9" s="186" t="s">
        <v>239</v>
      </c>
      <c r="L9" s="186" t="s">
        <v>284</v>
      </c>
      <c r="M9" s="186">
        <v>0</v>
      </c>
      <c r="N9" s="186">
        <v>22</v>
      </c>
      <c r="O9" s="186">
        <v>0</v>
      </c>
      <c r="P9" s="186">
        <v>16</v>
      </c>
    </row>
    <row r="10" spans="1:16">
      <c r="A10" s="185">
        <v>9</v>
      </c>
      <c r="B10" s="186" t="s">
        <v>130</v>
      </c>
      <c r="C10" s="186">
        <v>6</v>
      </c>
      <c r="D10" s="186">
        <v>6</v>
      </c>
      <c r="E10" s="186" t="s">
        <v>231</v>
      </c>
      <c r="F10" s="186" t="s">
        <v>231</v>
      </c>
      <c r="G10" s="186">
        <v>63</v>
      </c>
      <c r="H10" s="186" t="s">
        <v>234</v>
      </c>
      <c r="I10" s="186" t="s">
        <v>136</v>
      </c>
      <c r="J10" s="186" t="s">
        <v>239</v>
      </c>
      <c r="K10" s="186" t="s">
        <v>239</v>
      </c>
      <c r="L10" s="186" t="s">
        <v>283</v>
      </c>
      <c r="M10" s="186">
        <v>5</v>
      </c>
      <c r="N10" s="186">
        <v>55</v>
      </c>
      <c r="O10" s="186">
        <v>2</v>
      </c>
      <c r="P10" s="186">
        <v>20</v>
      </c>
    </row>
    <row r="11" spans="1:16">
      <c r="A11" s="185">
        <v>10</v>
      </c>
      <c r="B11" s="186" t="s">
        <v>130</v>
      </c>
      <c r="C11" s="186">
        <v>6</v>
      </c>
      <c r="D11" s="186">
        <v>6</v>
      </c>
      <c r="E11" s="186" t="s">
        <v>231</v>
      </c>
      <c r="F11" s="186" t="s">
        <v>231</v>
      </c>
      <c r="G11" s="186">
        <v>63</v>
      </c>
      <c r="H11" s="186" t="s">
        <v>234</v>
      </c>
      <c r="I11" s="186" t="s">
        <v>136</v>
      </c>
      <c r="J11" s="186" t="s">
        <v>239</v>
      </c>
      <c r="K11" s="186" t="s">
        <v>239</v>
      </c>
      <c r="L11" s="186" t="s">
        <v>283</v>
      </c>
      <c r="M11" s="186">
        <v>0</v>
      </c>
      <c r="N11" s="186">
        <v>31</v>
      </c>
      <c r="O11" s="186">
        <v>0</v>
      </c>
      <c r="P11" s="186">
        <v>15</v>
      </c>
    </row>
    <row r="12" spans="1:16">
      <c r="A12" s="185">
        <v>11</v>
      </c>
      <c r="B12" s="186" t="s">
        <v>130</v>
      </c>
      <c r="C12" s="186">
        <v>6</v>
      </c>
      <c r="D12" s="186">
        <v>6</v>
      </c>
      <c r="E12" s="186" t="s">
        <v>231</v>
      </c>
      <c r="F12" s="186" t="s">
        <v>231</v>
      </c>
      <c r="G12" s="186">
        <v>63</v>
      </c>
      <c r="H12" s="186" t="s">
        <v>234</v>
      </c>
      <c r="I12" s="186" t="s">
        <v>136</v>
      </c>
      <c r="J12" s="186" t="s">
        <v>239</v>
      </c>
      <c r="K12" s="186" t="s">
        <v>239</v>
      </c>
      <c r="L12" s="186" t="s">
        <v>283</v>
      </c>
      <c r="M12" s="186">
        <v>1</v>
      </c>
      <c r="N12" s="186">
        <v>24</v>
      </c>
      <c r="O12" s="186">
        <v>0</v>
      </c>
      <c r="P12" s="186">
        <v>22</v>
      </c>
    </row>
    <row r="13" spans="1:16">
      <c r="A13" s="185">
        <v>12</v>
      </c>
      <c r="B13" s="186" t="s">
        <v>130</v>
      </c>
      <c r="C13" s="186">
        <v>6</v>
      </c>
      <c r="D13" s="186">
        <v>6</v>
      </c>
      <c r="E13" s="186" t="s">
        <v>231</v>
      </c>
      <c r="F13" s="186" t="s">
        <v>231</v>
      </c>
      <c r="G13" s="186">
        <v>63</v>
      </c>
      <c r="H13" s="186" t="s">
        <v>234</v>
      </c>
      <c r="I13" s="186" t="s">
        <v>136</v>
      </c>
      <c r="J13" s="186" t="s">
        <v>239</v>
      </c>
      <c r="K13" s="186" t="s">
        <v>240</v>
      </c>
      <c r="L13" s="186" t="s">
        <v>284</v>
      </c>
      <c r="M13" s="186">
        <v>0</v>
      </c>
      <c r="N13" s="186">
        <v>16</v>
      </c>
      <c r="O13" s="186">
        <v>0</v>
      </c>
      <c r="P13" s="186">
        <v>10</v>
      </c>
    </row>
    <row r="14" spans="1:16">
      <c r="A14" s="185">
        <v>13</v>
      </c>
      <c r="B14" s="186" t="s">
        <v>131</v>
      </c>
      <c r="C14" s="186">
        <v>3</v>
      </c>
      <c r="D14" s="186">
        <v>3</v>
      </c>
      <c r="E14" s="186" t="s">
        <v>233</v>
      </c>
      <c r="F14" s="186" t="s">
        <v>228</v>
      </c>
      <c r="G14" s="186">
        <v>58</v>
      </c>
      <c r="H14" s="186" t="s">
        <v>234</v>
      </c>
      <c r="I14" s="186" t="s">
        <v>136</v>
      </c>
      <c r="J14" s="186" t="s">
        <v>132</v>
      </c>
      <c r="K14" s="186" t="s">
        <v>132</v>
      </c>
      <c r="L14" s="186" t="s">
        <v>284</v>
      </c>
      <c r="M14" s="186" t="s">
        <v>132</v>
      </c>
      <c r="N14" s="186">
        <v>76</v>
      </c>
      <c r="O14" s="186" t="s">
        <v>132</v>
      </c>
      <c r="P14" s="186">
        <v>7.6</v>
      </c>
    </row>
    <row r="15" spans="1:16">
      <c r="A15" s="185">
        <v>14</v>
      </c>
      <c r="B15" s="186" t="s">
        <v>131</v>
      </c>
      <c r="C15" s="186">
        <v>3</v>
      </c>
      <c r="D15" s="186">
        <v>3</v>
      </c>
      <c r="E15" s="186" t="s">
        <v>233</v>
      </c>
      <c r="F15" s="186" t="s">
        <v>229</v>
      </c>
      <c r="G15" s="186">
        <v>58</v>
      </c>
      <c r="H15" s="186" t="s">
        <v>234</v>
      </c>
      <c r="I15" s="186" t="s">
        <v>136</v>
      </c>
      <c r="J15" s="186" t="s">
        <v>132</v>
      </c>
      <c r="K15" s="186" t="s">
        <v>132</v>
      </c>
      <c r="L15" s="186" t="s">
        <v>284</v>
      </c>
      <c r="M15" s="186" t="s">
        <v>132</v>
      </c>
      <c r="N15" s="186">
        <v>47</v>
      </c>
      <c r="O15" s="186" t="s">
        <v>132</v>
      </c>
      <c r="P15" s="186">
        <v>4.7</v>
      </c>
    </row>
    <row r="16" spans="1:16">
      <c r="A16" s="185">
        <v>15</v>
      </c>
      <c r="B16" s="186" t="s">
        <v>131</v>
      </c>
      <c r="C16" s="186">
        <v>3</v>
      </c>
      <c r="D16" s="186">
        <v>3</v>
      </c>
      <c r="E16" s="186" t="s">
        <v>233</v>
      </c>
      <c r="F16" s="186" t="s">
        <v>229</v>
      </c>
      <c r="G16" s="186">
        <v>58</v>
      </c>
      <c r="H16" s="186" t="s">
        <v>234</v>
      </c>
      <c r="I16" s="186" t="s">
        <v>136</v>
      </c>
      <c r="J16" s="186" t="s">
        <v>132</v>
      </c>
      <c r="K16" s="186" t="s">
        <v>132</v>
      </c>
      <c r="L16" s="186" t="s">
        <v>284</v>
      </c>
      <c r="M16" s="186" t="s">
        <v>132</v>
      </c>
      <c r="N16" s="186">
        <v>13.7</v>
      </c>
      <c r="O16" s="186" t="s">
        <v>132</v>
      </c>
      <c r="P16" s="186">
        <v>1.37</v>
      </c>
    </row>
    <row r="17" spans="1:16">
      <c r="A17" s="185">
        <v>16</v>
      </c>
      <c r="B17" s="186" t="s">
        <v>131</v>
      </c>
      <c r="C17" s="186">
        <v>3</v>
      </c>
      <c r="D17" s="186">
        <v>3</v>
      </c>
      <c r="E17" s="186" t="s">
        <v>233</v>
      </c>
      <c r="F17" s="186" t="s">
        <v>229</v>
      </c>
      <c r="G17" s="186">
        <v>58</v>
      </c>
      <c r="H17" s="186" t="s">
        <v>234</v>
      </c>
      <c r="I17" s="186" t="s">
        <v>136</v>
      </c>
      <c r="J17" s="186" t="s">
        <v>132</v>
      </c>
      <c r="K17" s="186" t="s">
        <v>132</v>
      </c>
      <c r="L17" s="186" t="s">
        <v>283</v>
      </c>
      <c r="M17" s="186" t="s">
        <v>132</v>
      </c>
      <c r="N17" s="186">
        <v>35.700000000000003</v>
      </c>
      <c r="O17" s="186" t="s">
        <v>132</v>
      </c>
      <c r="P17" s="186">
        <v>3.57</v>
      </c>
    </row>
    <row r="18" spans="1:16">
      <c r="A18" s="185">
        <v>17</v>
      </c>
      <c r="B18" s="186" t="s">
        <v>131</v>
      </c>
      <c r="C18" s="186">
        <v>3</v>
      </c>
      <c r="D18" s="186">
        <v>3</v>
      </c>
      <c r="E18" s="186" t="s">
        <v>233</v>
      </c>
      <c r="F18" s="186" t="s">
        <v>229</v>
      </c>
      <c r="G18" s="186">
        <v>58</v>
      </c>
      <c r="H18" s="186" t="s">
        <v>234</v>
      </c>
      <c r="I18" s="186" t="s">
        <v>136</v>
      </c>
      <c r="J18" s="186" t="s">
        <v>132</v>
      </c>
      <c r="K18" s="186" t="s">
        <v>132</v>
      </c>
      <c r="L18" s="186" t="s">
        <v>283</v>
      </c>
      <c r="M18" s="186" t="s">
        <v>132</v>
      </c>
      <c r="N18" s="186">
        <v>60</v>
      </c>
      <c r="O18" s="186" t="s">
        <v>132</v>
      </c>
      <c r="P18" s="186">
        <v>6</v>
      </c>
    </row>
    <row r="19" spans="1:16">
      <c r="A19" s="185">
        <v>18</v>
      </c>
      <c r="B19" s="186" t="s">
        <v>131</v>
      </c>
      <c r="C19" s="186">
        <v>3</v>
      </c>
      <c r="D19" s="186">
        <v>3</v>
      </c>
      <c r="E19" s="186" t="s">
        <v>233</v>
      </c>
      <c r="F19" s="186" t="s">
        <v>230</v>
      </c>
      <c r="G19" s="186">
        <v>58</v>
      </c>
      <c r="H19" s="186" t="s">
        <v>234</v>
      </c>
      <c r="I19" s="186" t="s">
        <v>136</v>
      </c>
      <c r="J19" s="186" t="s">
        <v>132</v>
      </c>
      <c r="K19" s="186" t="s">
        <v>132</v>
      </c>
      <c r="L19" s="186" t="s">
        <v>284</v>
      </c>
      <c r="M19" s="186" t="s">
        <v>132</v>
      </c>
      <c r="N19" s="186">
        <v>85.7</v>
      </c>
      <c r="O19" s="186" t="s">
        <v>132</v>
      </c>
      <c r="P19" s="186">
        <v>8.57</v>
      </c>
    </row>
    <row r="20" spans="1:16">
      <c r="A20" s="185">
        <v>19</v>
      </c>
      <c r="B20" s="186" t="s">
        <v>153</v>
      </c>
      <c r="C20" s="186">
        <v>4</v>
      </c>
      <c r="D20" s="186">
        <v>4</v>
      </c>
      <c r="E20" s="186" t="s">
        <v>233</v>
      </c>
      <c r="F20" s="186" t="s">
        <v>229</v>
      </c>
      <c r="G20" s="186">
        <v>63</v>
      </c>
      <c r="H20" s="186" t="s">
        <v>234</v>
      </c>
      <c r="I20" s="186" t="s">
        <v>136</v>
      </c>
      <c r="J20" s="186" t="s">
        <v>240</v>
      </c>
      <c r="K20" s="186" t="s">
        <v>132</v>
      </c>
      <c r="L20" s="186" t="s">
        <v>284</v>
      </c>
      <c r="M20" s="186">
        <v>0</v>
      </c>
      <c r="N20" s="186">
        <v>30.43</v>
      </c>
      <c r="O20" s="186">
        <v>0</v>
      </c>
      <c r="P20" s="186">
        <v>10</v>
      </c>
    </row>
    <row r="21" spans="1:16">
      <c r="A21" s="185">
        <v>20</v>
      </c>
      <c r="B21" s="186" t="s">
        <v>133</v>
      </c>
      <c r="C21" s="186">
        <v>8</v>
      </c>
      <c r="D21" s="186">
        <v>8</v>
      </c>
      <c r="E21" s="186" t="s">
        <v>231</v>
      </c>
      <c r="F21" s="186" t="s">
        <v>231</v>
      </c>
      <c r="G21" s="186">
        <v>63</v>
      </c>
      <c r="H21" s="186" t="s">
        <v>234</v>
      </c>
      <c r="I21" s="186" t="s">
        <v>137</v>
      </c>
      <c r="J21" s="186" t="s">
        <v>240</v>
      </c>
      <c r="K21" s="185" t="s">
        <v>241</v>
      </c>
      <c r="L21" s="186" t="s">
        <v>284</v>
      </c>
      <c r="M21" s="186">
        <v>6.8</v>
      </c>
      <c r="N21" s="186">
        <v>22.5</v>
      </c>
      <c r="O21" s="186">
        <v>7.1</v>
      </c>
      <c r="P21" s="186">
        <v>10.199999999999999</v>
      </c>
    </row>
    <row r="22" spans="1:16">
      <c r="A22" s="185">
        <v>21</v>
      </c>
      <c r="B22" s="186" t="s">
        <v>133</v>
      </c>
      <c r="C22" s="186">
        <v>8</v>
      </c>
      <c r="D22" s="186">
        <v>8</v>
      </c>
      <c r="E22" s="186" t="s">
        <v>231</v>
      </c>
      <c r="F22" s="186" t="s">
        <v>231</v>
      </c>
      <c r="G22" s="186">
        <v>63</v>
      </c>
      <c r="H22" s="186" t="s">
        <v>234</v>
      </c>
      <c r="I22" s="186" t="s">
        <v>137</v>
      </c>
      <c r="J22" s="186" t="s">
        <v>239</v>
      </c>
      <c r="K22" s="185" t="s">
        <v>241</v>
      </c>
      <c r="L22" s="186" t="s">
        <v>284</v>
      </c>
      <c r="M22" s="186">
        <v>3.1</v>
      </c>
      <c r="N22" s="186">
        <v>29.5</v>
      </c>
      <c r="O22" s="186">
        <v>2.8</v>
      </c>
      <c r="P22" s="186">
        <v>12.2</v>
      </c>
    </row>
    <row r="23" spans="1:16">
      <c r="A23" s="185">
        <v>22</v>
      </c>
      <c r="B23" s="186" t="s">
        <v>133</v>
      </c>
      <c r="C23" s="186">
        <v>8</v>
      </c>
      <c r="D23" s="186">
        <v>8</v>
      </c>
      <c r="E23" s="186" t="s">
        <v>231</v>
      </c>
      <c r="F23" s="186" t="s">
        <v>231</v>
      </c>
      <c r="G23" s="186">
        <v>63</v>
      </c>
      <c r="H23" s="186" t="s">
        <v>234</v>
      </c>
      <c r="I23" s="186" t="s">
        <v>137</v>
      </c>
      <c r="J23" s="186" t="s">
        <v>240</v>
      </c>
      <c r="K23" s="185" t="s">
        <v>241</v>
      </c>
      <c r="L23" s="186" t="s">
        <v>284</v>
      </c>
      <c r="M23" s="186">
        <v>5.4</v>
      </c>
      <c r="N23" s="186">
        <v>19.399999999999999</v>
      </c>
      <c r="O23" s="186">
        <v>5.0999999999999996</v>
      </c>
      <c r="P23" s="186">
        <v>3.4</v>
      </c>
    </row>
    <row r="24" spans="1:16">
      <c r="A24" s="185">
        <v>23</v>
      </c>
      <c r="B24" s="186" t="s">
        <v>133</v>
      </c>
      <c r="C24" s="186">
        <v>8</v>
      </c>
      <c r="D24" s="186">
        <v>8</v>
      </c>
      <c r="E24" s="186" t="s">
        <v>231</v>
      </c>
      <c r="F24" s="186" t="s">
        <v>231</v>
      </c>
      <c r="G24" s="186">
        <v>63</v>
      </c>
      <c r="H24" s="186" t="s">
        <v>234</v>
      </c>
      <c r="I24" s="186" t="s">
        <v>137</v>
      </c>
      <c r="J24" s="186" t="s">
        <v>239</v>
      </c>
      <c r="K24" s="185" t="s">
        <v>241</v>
      </c>
      <c r="L24" s="186" t="s">
        <v>284</v>
      </c>
      <c r="M24" s="186">
        <v>3.4</v>
      </c>
      <c r="N24" s="186">
        <v>25.4</v>
      </c>
      <c r="O24" s="186">
        <v>1.7</v>
      </c>
      <c r="P24" s="186">
        <v>8.8000000000000007</v>
      </c>
    </row>
    <row r="25" spans="1:16">
      <c r="A25" s="185">
        <v>24</v>
      </c>
      <c r="B25" s="186" t="s">
        <v>134</v>
      </c>
      <c r="C25" s="186">
        <v>4</v>
      </c>
      <c r="D25" s="186">
        <v>4</v>
      </c>
      <c r="E25" s="186" t="s">
        <v>231</v>
      </c>
      <c r="F25" s="186" t="s">
        <v>231</v>
      </c>
      <c r="G25" s="186">
        <v>72</v>
      </c>
      <c r="H25" s="186" t="s">
        <v>235</v>
      </c>
      <c r="I25" s="186" t="s">
        <v>136</v>
      </c>
      <c r="J25" s="186" t="s">
        <v>240</v>
      </c>
      <c r="K25" s="185" t="s">
        <v>241</v>
      </c>
      <c r="L25" s="186" t="s">
        <v>284</v>
      </c>
      <c r="M25" s="186">
        <v>1</v>
      </c>
      <c r="N25" s="186">
        <v>79.33</v>
      </c>
      <c r="O25" s="186">
        <v>1.1499999999999999</v>
      </c>
      <c r="P25" s="186">
        <v>12.36</v>
      </c>
    </row>
    <row r="26" spans="1:16">
      <c r="A26" s="185">
        <v>25</v>
      </c>
      <c r="B26" s="186" t="s">
        <v>135</v>
      </c>
      <c r="C26" s="186">
        <v>6</v>
      </c>
      <c r="D26" s="186">
        <v>6</v>
      </c>
      <c r="E26" s="186" t="s">
        <v>231</v>
      </c>
      <c r="F26" s="186" t="s">
        <v>231</v>
      </c>
      <c r="G26" s="186">
        <v>79</v>
      </c>
      <c r="H26" s="186" t="s">
        <v>235</v>
      </c>
      <c r="I26" s="186" t="s">
        <v>136</v>
      </c>
      <c r="J26" s="186" t="s">
        <v>239</v>
      </c>
      <c r="K26" s="186" t="s">
        <v>240</v>
      </c>
      <c r="L26" s="186" t="s">
        <v>284</v>
      </c>
      <c r="M26" s="186">
        <v>0</v>
      </c>
      <c r="N26" s="186">
        <v>18.899999999999999</v>
      </c>
      <c r="O26" s="186">
        <v>0</v>
      </c>
      <c r="P26" s="186">
        <v>1.89</v>
      </c>
    </row>
    <row r="27" spans="1:16">
      <c r="A27" s="185">
        <v>26</v>
      </c>
      <c r="B27" s="186" t="s">
        <v>135</v>
      </c>
      <c r="C27" s="186">
        <v>6</v>
      </c>
      <c r="D27" s="186">
        <v>6</v>
      </c>
      <c r="E27" s="186" t="s">
        <v>231</v>
      </c>
      <c r="F27" s="186" t="s">
        <v>231</v>
      </c>
      <c r="G27" s="186">
        <v>79</v>
      </c>
      <c r="H27" s="186" t="s">
        <v>235</v>
      </c>
      <c r="I27" s="186" t="s">
        <v>136</v>
      </c>
      <c r="J27" s="186" t="s">
        <v>239</v>
      </c>
      <c r="K27" s="186" t="s">
        <v>240</v>
      </c>
      <c r="L27" s="186" t="s">
        <v>284</v>
      </c>
      <c r="M27" s="186">
        <v>0</v>
      </c>
      <c r="N27" s="186">
        <v>17.5</v>
      </c>
      <c r="O27" s="186">
        <v>0</v>
      </c>
      <c r="P27" s="186">
        <v>1.75</v>
      </c>
    </row>
    <row r="28" spans="1:16">
      <c r="A28" s="185">
        <v>27</v>
      </c>
      <c r="B28" s="186" t="s">
        <v>138</v>
      </c>
      <c r="C28" s="186">
        <v>4</v>
      </c>
      <c r="D28" s="186">
        <v>4</v>
      </c>
      <c r="E28" s="186" t="s">
        <v>231</v>
      </c>
      <c r="F28" s="186" t="s">
        <v>231</v>
      </c>
      <c r="G28" s="186">
        <v>63</v>
      </c>
      <c r="H28" s="186" t="s">
        <v>235</v>
      </c>
      <c r="I28" s="186" t="s">
        <v>137</v>
      </c>
      <c r="J28" s="186" t="s">
        <v>132</v>
      </c>
      <c r="K28" s="186" t="s">
        <v>239</v>
      </c>
      <c r="L28" s="186" t="s">
        <v>285</v>
      </c>
      <c r="M28" s="186">
        <v>3.8</v>
      </c>
      <c r="N28" s="186">
        <v>22.2</v>
      </c>
      <c r="O28" s="185">
        <v>2</v>
      </c>
      <c r="P28" s="185">
        <v>4.5999999999999996</v>
      </c>
    </row>
    <row r="29" spans="1:16">
      <c r="A29" s="185">
        <v>28</v>
      </c>
      <c r="B29" s="186" t="s">
        <v>138</v>
      </c>
      <c r="C29" s="186">
        <v>4</v>
      </c>
      <c r="D29" s="186">
        <v>4</v>
      </c>
      <c r="E29" s="186" t="s">
        <v>231</v>
      </c>
      <c r="F29" s="186" t="s">
        <v>231</v>
      </c>
      <c r="G29" s="186">
        <v>63</v>
      </c>
      <c r="H29" s="186" t="s">
        <v>235</v>
      </c>
      <c r="I29" s="186" t="s">
        <v>137</v>
      </c>
      <c r="J29" s="186" t="s">
        <v>132</v>
      </c>
      <c r="K29" s="186" t="s">
        <v>239</v>
      </c>
      <c r="L29" s="186" t="s">
        <v>285</v>
      </c>
      <c r="M29" s="186">
        <v>2</v>
      </c>
      <c r="N29" s="186">
        <v>18.899999999999999</v>
      </c>
      <c r="O29" s="185">
        <v>2.2000000000000002</v>
      </c>
      <c r="P29" s="185">
        <v>6.2</v>
      </c>
    </row>
    <row r="30" spans="1:16">
      <c r="A30" s="185">
        <v>29</v>
      </c>
      <c r="B30" s="186" t="s">
        <v>139</v>
      </c>
      <c r="C30" s="186">
        <v>3</v>
      </c>
      <c r="D30" s="186">
        <v>3</v>
      </c>
      <c r="E30" s="186" t="s">
        <v>233</v>
      </c>
      <c r="F30" s="186" t="s">
        <v>228</v>
      </c>
      <c r="G30" s="186">
        <v>42</v>
      </c>
      <c r="H30" s="186" t="s">
        <v>234</v>
      </c>
      <c r="I30" s="186" t="s">
        <v>136</v>
      </c>
      <c r="J30" s="186" t="s">
        <v>132</v>
      </c>
      <c r="K30" s="186" t="s">
        <v>132</v>
      </c>
      <c r="L30" s="186" t="s">
        <v>283</v>
      </c>
      <c r="M30" s="186" t="s">
        <v>132</v>
      </c>
      <c r="N30" s="186">
        <v>15</v>
      </c>
      <c r="O30" s="186" t="s">
        <v>132</v>
      </c>
      <c r="P30" s="186">
        <v>3.46</v>
      </c>
    </row>
    <row r="31" spans="1:16">
      <c r="A31" s="185">
        <v>30</v>
      </c>
      <c r="B31" s="186" t="s">
        <v>139</v>
      </c>
      <c r="C31" s="186">
        <v>3</v>
      </c>
      <c r="D31" s="186">
        <v>3</v>
      </c>
      <c r="E31" s="186" t="s">
        <v>233</v>
      </c>
      <c r="F31" s="186" t="s">
        <v>229</v>
      </c>
      <c r="G31" s="186">
        <v>42</v>
      </c>
      <c r="H31" s="186" t="s">
        <v>234</v>
      </c>
      <c r="I31" s="186" t="s">
        <v>136</v>
      </c>
      <c r="J31" s="186" t="s">
        <v>132</v>
      </c>
      <c r="K31" s="186" t="s">
        <v>132</v>
      </c>
      <c r="L31" s="186" t="s">
        <v>283</v>
      </c>
      <c r="M31" s="186" t="s">
        <v>132</v>
      </c>
      <c r="N31" s="186">
        <v>31.4</v>
      </c>
      <c r="O31" s="186" t="s">
        <v>132</v>
      </c>
      <c r="P31" s="186">
        <v>1.73</v>
      </c>
    </row>
    <row r="32" spans="1:16">
      <c r="A32" s="185">
        <v>31</v>
      </c>
      <c r="B32" s="186" t="s">
        <v>139</v>
      </c>
      <c r="C32" s="186">
        <v>3</v>
      </c>
      <c r="D32" s="186">
        <v>3</v>
      </c>
      <c r="E32" s="186" t="s">
        <v>233</v>
      </c>
      <c r="F32" s="186" t="s">
        <v>229</v>
      </c>
      <c r="G32" s="186">
        <v>42</v>
      </c>
      <c r="H32" s="186" t="s">
        <v>234</v>
      </c>
      <c r="I32" s="186" t="s">
        <v>136</v>
      </c>
      <c r="J32" s="186" t="s">
        <v>132</v>
      </c>
      <c r="K32" s="186" t="s">
        <v>132</v>
      </c>
      <c r="L32" s="186" t="s">
        <v>283</v>
      </c>
      <c r="M32" s="186" t="s">
        <v>132</v>
      </c>
      <c r="N32" s="186">
        <v>24.4</v>
      </c>
      <c r="O32" s="186" t="s">
        <v>132</v>
      </c>
      <c r="P32" s="186">
        <v>1.73</v>
      </c>
    </row>
    <row r="33" spans="1:16">
      <c r="A33" s="185">
        <v>32</v>
      </c>
      <c r="B33" s="186" t="s">
        <v>140</v>
      </c>
      <c r="C33" s="186">
        <v>5</v>
      </c>
      <c r="D33" s="186">
        <v>5</v>
      </c>
      <c r="E33" s="186" t="s">
        <v>233</v>
      </c>
      <c r="F33" s="186" t="s">
        <v>229</v>
      </c>
      <c r="G33" s="186">
        <v>64</v>
      </c>
      <c r="H33" s="186" t="s">
        <v>234</v>
      </c>
      <c r="I33" s="186" t="s">
        <v>136</v>
      </c>
      <c r="J33" s="186" t="s">
        <v>240</v>
      </c>
      <c r="K33" s="186" t="s">
        <v>132</v>
      </c>
      <c r="L33" s="186" t="s">
        <v>284</v>
      </c>
      <c r="M33" s="186">
        <v>4.3</v>
      </c>
      <c r="N33" s="186">
        <v>66.3</v>
      </c>
      <c r="O33" s="186">
        <v>0.43</v>
      </c>
      <c r="P33" s="186">
        <v>6.63</v>
      </c>
    </row>
    <row r="34" spans="1:16">
      <c r="A34" s="185">
        <v>33</v>
      </c>
      <c r="B34" s="186" t="s">
        <v>140</v>
      </c>
      <c r="C34" s="186">
        <v>5</v>
      </c>
      <c r="D34" s="186">
        <v>5</v>
      </c>
      <c r="E34" s="186" t="s">
        <v>233</v>
      </c>
      <c r="F34" s="186" t="s">
        <v>229</v>
      </c>
      <c r="G34" s="186">
        <v>64</v>
      </c>
      <c r="H34" s="186" t="s">
        <v>234</v>
      </c>
      <c r="I34" s="186" t="s">
        <v>136</v>
      </c>
      <c r="J34" s="186" t="s">
        <v>240</v>
      </c>
      <c r="K34" s="186" t="s">
        <v>132</v>
      </c>
      <c r="L34" s="186" t="s">
        <v>284</v>
      </c>
      <c r="M34" s="186">
        <v>3.7</v>
      </c>
      <c r="N34" s="186">
        <v>20.7</v>
      </c>
      <c r="O34" s="186">
        <v>0.37</v>
      </c>
      <c r="P34" s="186">
        <v>2.0699999999999998</v>
      </c>
    </row>
    <row r="35" spans="1:16">
      <c r="A35" s="185">
        <v>34</v>
      </c>
      <c r="B35" s="186" t="s">
        <v>140</v>
      </c>
      <c r="C35" s="186">
        <v>5</v>
      </c>
      <c r="D35" s="186">
        <v>5</v>
      </c>
      <c r="E35" s="186" t="s">
        <v>233</v>
      </c>
      <c r="F35" s="186" t="s">
        <v>230</v>
      </c>
      <c r="G35" s="186">
        <v>64</v>
      </c>
      <c r="H35" s="186" t="s">
        <v>234</v>
      </c>
      <c r="I35" s="186" t="s">
        <v>136</v>
      </c>
      <c r="J35" s="186" t="s">
        <v>240</v>
      </c>
      <c r="K35" s="186" t="s">
        <v>132</v>
      </c>
      <c r="L35" s="186" t="s">
        <v>284</v>
      </c>
      <c r="M35" s="186">
        <v>76</v>
      </c>
      <c r="N35" s="186">
        <v>96</v>
      </c>
      <c r="O35" s="186">
        <v>7.6</v>
      </c>
      <c r="P35" s="186">
        <v>9.6</v>
      </c>
    </row>
    <row r="36" spans="1:16">
      <c r="A36" s="185">
        <v>35</v>
      </c>
      <c r="B36" s="186" t="s">
        <v>140</v>
      </c>
      <c r="C36" s="186">
        <v>5</v>
      </c>
      <c r="D36" s="186">
        <v>5</v>
      </c>
      <c r="E36" s="186" t="s">
        <v>233</v>
      </c>
      <c r="F36" s="186" t="s">
        <v>229</v>
      </c>
      <c r="G36" s="186">
        <v>64</v>
      </c>
      <c r="H36" s="186" t="s">
        <v>234</v>
      </c>
      <c r="I36" s="186" t="s">
        <v>136</v>
      </c>
      <c r="J36" s="186" t="s">
        <v>240</v>
      </c>
      <c r="K36" s="186" t="s">
        <v>132</v>
      </c>
      <c r="L36" s="186" t="s">
        <v>283</v>
      </c>
      <c r="M36" s="186">
        <v>30</v>
      </c>
      <c r="N36" s="186">
        <v>82</v>
      </c>
      <c r="O36" s="186">
        <v>3</v>
      </c>
      <c r="P36" s="186">
        <v>8.1999999999999993</v>
      </c>
    </row>
    <row r="37" spans="1:16">
      <c r="A37" s="185">
        <v>36</v>
      </c>
      <c r="B37" s="186" t="s">
        <v>140</v>
      </c>
      <c r="C37" s="186">
        <v>5</v>
      </c>
      <c r="D37" s="186">
        <v>5</v>
      </c>
      <c r="E37" s="186" t="s">
        <v>233</v>
      </c>
      <c r="F37" s="186" t="s">
        <v>229</v>
      </c>
      <c r="G37" s="186">
        <v>64</v>
      </c>
      <c r="H37" s="186" t="s">
        <v>234</v>
      </c>
      <c r="I37" s="186" t="s">
        <v>136</v>
      </c>
      <c r="J37" s="186" t="s">
        <v>240</v>
      </c>
      <c r="K37" s="186" t="s">
        <v>132</v>
      </c>
      <c r="L37" s="186" t="s">
        <v>283</v>
      </c>
      <c r="M37" s="186">
        <v>28.3</v>
      </c>
      <c r="N37" s="186">
        <v>68</v>
      </c>
      <c r="O37" s="186">
        <v>2.83</v>
      </c>
      <c r="P37" s="186">
        <v>6.8</v>
      </c>
    </row>
    <row r="38" spans="1:16">
      <c r="A38" s="185">
        <v>37</v>
      </c>
      <c r="B38" s="186" t="s">
        <v>141</v>
      </c>
      <c r="C38" s="186">
        <v>5</v>
      </c>
      <c r="D38" s="186">
        <v>5</v>
      </c>
      <c r="E38" s="186" t="s">
        <v>233</v>
      </c>
      <c r="F38" s="186" t="s">
        <v>229</v>
      </c>
      <c r="G38" s="186">
        <v>21</v>
      </c>
      <c r="H38" s="186" t="s">
        <v>234</v>
      </c>
      <c r="I38" s="186" t="s">
        <v>136</v>
      </c>
      <c r="J38" s="186" t="s">
        <v>132</v>
      </c>
      <c r="K38" s="186" t="s">
        <v>132</v>
      </c>
      <c r="L38" s="186" t="s">
        <v>283</v>
      </c>
      <c r="M38" s="186">
        <v>12.3</v>
      </c>
      <c r="N38" s="186">
        <v>42.8</v>
      </c>
      <c r="O38" s="186">
        <v>1.23</v>
      </c>
      <c r="P38" s="186">
        <v>4.28</v>
      </c>
    </row>
    <row r="39" spans="1:16">
      <c r="A39" s="185">
        <v>38</v>
      </c>
      <c r="B39" s="186" t="s">
        <v>141</v>
      </c>
      <c r="C39" s="186">
        <v>5</v>
      </c>
      <c r="D39" s="186">
        <v>5</v>
      </c>
      <c r="E39" s="186" t="s">
        <v>233</v>
      </c>
      <c r="F39" s="186" t="s">
        <v>229</v>
      </c>
      <c r="G39" s="186">
        <v>42</v>
      </c>
      <c r="H39" s="186" t="s">
        <v>234</v>
      </c>
      <c r="I39" s="186" t="s">
        <v>136</v>
      </c>
      <c r="J39" s="186" t="s">
        <v>132</v>
      </c>
      <c r="K39" s="186" t="s">
        <v>132</v>
      </c>
      <c r="L39" s="186" t="s">
        <v>283</v>
      </c>
      <c r="M39" s="186">
        <v>8.1</v>
      </c>
      <c r="N39" s="186">
        <v>26.7</v>
      </c>
      <c r="O39" s="186">
        <v>0.81</v>
      </c>
      <c r="P39" s="186">
        <v>2.67</v>
      </c>
    </row>
    <row r="40" spans="1:16">
      <c r="A40" s="185">
        <v>39</v>
      </c>
      <c r="B40" s="186" t="s">
        <v>142</v>
      </c>
      <c r="C40" s="186">
        <v>5</v>
      </c>
      <c r="D40" s="186">
        <v>5</v>
      </c>
      <c r="E40" s="186" t="s">
        <v>233</v>
      </c>
      <c r="F40" s="186" t="s">
        <v>228</v>
      </c>
      <c r="G40" s="186">
        <v>28</v>
      </c>
      <c r="H40" s="186" t="s">
        <v>234</v>
      </c>
      <c r="I40" s="186" t="s">
        <v>136</v>
      </c>
      <c r="J40" s="186" t="s">
        <v>132</v>
      </c>
      <c r="K40" s="186" t="s">
        <v>132</v>
      </c>
      <c r="L40" s="186" t="s">
        <v>284</v>
      </c>
      <c r="M40" s="187">
        <v>0</v>
      </c>
      <c r="N40" s="187">
        <v>5</v>
      </c>
      <c r="O40" s="187">
        <v>0</v>
      </c>
      <c r="P40" s="187">
        <v>3</v>
      </c>
    </row>
    <row r="41" spans="1:16">
      <c r="A41" s="185">
        <v>40</v>
      </c>
      <c r="B41" s="186" t="s">
        <v>142</v>
      </c>
      <c r="C41" s="186">
        <v>5</v>
      </c>
      <c r="D41" s="186">
        <v>5</v>
      </c>
      <c r="E41" s="186" t="s">
        <v>233</v>
      </c>
      <c r="F41" s="186" t="s">
        <v>228</v>
      </c>
      <c r="G41" s="186">
        <v>70</v>
      </c>
      <c r="H41" s="186" t="s">
        <v>235</v>
      </c>
      <c r="I41" s="186" t="s">
        <v>136</v>
      </c>
      <c r="J41" s="186" t="s">
        <v>132</v>
      </c>
      <c r="K41" s="186" t="s">
        <v>132</v>
      </c>
      <c r="L41" s="186" t="s">
        <v>284</v>
      </c>
      <c r="M41" s="187">
        <v>0</v>
      </c>
      <c r="N41" s="187">
        <v>23</v>
      </c>
      <c r="O41" s="187">
        <v>0</v>
      </c>
      <c r="P41" s="187">
        <v>10</v>
      </c>
    </row>
    <row r="42" spans="1:16">
      <c r="A42" s="185">
        <v>41</v>
      </c>
      <c r="B42" s="186" t="s">
        <v>142</v>
      </c>
      <c r="C42" s="186">
        <v>5</v>
      </c>
      <c r="D42" s="186">
        <v>5</v>
      </c>
      <c r="E42" s="186" t="s">
        <v>233</v>
      </c>
      <c r="F42" s="186" t="s">
        <v>228</v>
      </c>
      <c r="G42" s="186">
        <v>112</v>
      </c>
      <c r="H42" s="186" t="s">
        <v>235</v>
      </c>
      <c r="I42" s="186" t="s">
        <v>136</v>
      </c>
      <c r="J42" s="186" t="s">
        <v>132</v>
      </c>
      <c r="K42" s="186" t="s">
        <v>132</v>
      </c>
      <c r="L42" s="186" t="s">
        <v>284</v>
      </c>
      <c r="M42" s="187">
        <v>0</v>
      </c>
      <c r="N42" s="187">
        <v>44</v>
      </c>
      <c r="O42" s="187">
        <v>0</v>
      </c>
      <c r="P42" s="187">
        <v>5</v>
      </c>
    </row>
    <row r="43" spans="1:16">
      <c r="A43" s="185">
        <v>42</v>
      </c>
      <c r="B43" s="186" t="s">
        <v>142</v>
      </c>
      <c r="C43" s="186">
        <v>5</v>
      </c>
      <c r="D43" s="186">
        <v>5</v>
      </c>
      <c r="E43" s="186" t="s">
        <v>233</v>
      </c>
      <c r="F43" s="186" t="s">
        <v>228</v>
      </c>
      <c r="G43" s="186">
        <v>28</v>
      </c>
      <c r="H43" s="186" t="s">
        <v>234</v>
      </c>
      <c r="I43" s="186" t="s">
        <v>136</v>
      </c>
      <c r="J43" s="186" t="s">
        <v>132</v>
      </c>
      <c r="K43" s="186" t="s">
        <v>132</v>
      </c>
      <c r="L43" s="186" t="s">
        <v>284</v>
      </c>
      <c r="M43" s="187">
        <v>0</v>
      </c>
      <c r="N43" s="187">
        <v>1</v>
      </c>
      <c r="O43" s="187">
        <v>0</v>
      </c>
      <c r="P43" s="187">
        <v>2</v>
      </c>
    </row>
    <row r="44" spans="1:16">
      <c r="A44" s="185">
        <v>43</v>
      </c>
      <c r="B44" s="186" t="s">
        <v>142</v>
      </c>
      <c r="C44" s="186">
        <v>5</v>
      </c>
      <c r="D44" s="186">
        <v>5</v>
      </c>
      <c r="E44" s="186" t="s">
        <v>233</v>
      </c>
      <c r="F44" s="186" t="s">
        <v>228</v>
      </c>
      <c r="G44" s="186">
        <v>70</v>
      </c>
      <c r="H44" s="186" t="s">
        <v>235</v>
      </c>
      <c r="I44" s="186" t="s">
        <v>136</v>
      </c>
      <c r="J44" s="186" t="s">
        <v>132</v>
      </c>
      <c r="K44" s="186" t="s">
        <v>132</v>
      </c>
      <c r="L44" s="186" t="s">
        <v>284</v>
      </c>
      <c r="M44" s="187">
        <v>0</v>
      </c>
      <c r="N44" s="187">
        <v>5</v>
      </c>
      <c r="O44" s="187">
        <v>1</v>
      </c>
      <c r="P44" s="187">
        <v>5</v>
      </c>
    </row>
    <row r="45" spans="1:16">
      <c r="A45" s="185">
        <v>44</v>
      </c>
      <c r="B45" s="186" t="s">
        <v>142</v>
      </c>
      <c r="C45" s="186">
        <v>5</v>
      </c>
      <c r="D45" s="186">
        <v>5</v>
      </c>
      <c r="E45" s="186" t="s">
        <v>233</v>
      </c>
      <c r="F45" s="186" t="s">
        <v>228</v>
      </c>
      <c r="G45" s="186">
        <v>112</v>
      </c>
      <c r="H45" s="186" t="s">
        <v>235</v>
      </c>
      <c r="I45" s="186" t="s">
        <v>136</v>
      </c>
      <c r="J45" s="186" t="s">
        <v>132</v>
      </c>
      <c r="K45" s="186" t="s">
        <v>132</v>
      </c>
      <c r="L45" s="186" t="s">
        <v>284</v>
      </c>
      <c r="M45" s="187">
        <v>0</v>
      </c>
      <c r="N45" s="187">
        <v>11</v>
      </c>
      <c r="O45" s="187">
        <v>0</v>
      </c>
      <c r="P45" s="187">
        <v>2</v>
      </c>
    </row>
    <row r="46" spans="1:16">
      <c r="A46" s="185">
        <v>45</v>
      </c>
      <c r="B46" s="186" t="s">
        <v>142</v>
      </c>
      <c r="C46" s="186">
        <v>5</v>
      </c>
      <c r="D46" s="186">
        <v>5</v>
      </c>
      <c r="E46" s="186" t="s">
        <v>233</v>
      </c>
      <c r="F46" s="186" t="s">
        <v>229</v>
      </c>
      <c r="G46" s="186">
        <v>28</v>
      </c>
      <c r="H46" s="186" t="s">
        <v>234</v>
      </c>
      <c r="I46" s="186" t="s">
        <v>136</v>
      </c>
      <c r="J46" s="186" t="s">
        <v>132</v>
      </c>
      <c r="K46" s="186" t="s">
        <v>132</v>
      </c>
      <c r="L46" s="186" t="s">
        <v>284</v>
      </c>
      <c r="M46" s="187">
        <v>0</v>
      </c>
      <c r="N46" s="187">
        <v>2</v>
      </c>
      <c r="O46" s="186">
        <v>0</v>
      </c>
      <c r="P46" s="187">
        <v>1</v>
      </c>
    </row>
    <row r="47" spans="1:16">
      <c r="A47" s="185">
        <v>46</v>
      </c>
      <c r="B47" s="186" t="s">
        <v>142</v>
      </c>
      <c r="C47" s="186">
        <v>5</v>
      </c>
      <c r="D47" s="186">
        <v>5</v>
      </c>
      <c r="E47" s="186" t="s">
        <v>233</v>
      </c>
      <c r="F47" s="186" t="s">
        <v>229</v>
      </c>
      <c r="G47" s="186">
        <v>70</v>
      </c>
      <c r="H47" s="186" t="s">
        <v>235</v>
      </c>
      <c r="I47" s="186" t="s">
        <v>136</v>
      </c>
      <c r="J47" s="186" t="s">
        <v>132</v>
      </c>
      <c r="K47" s="186" t="s">
        <v>132</v>
      </c>
      <c r="L47" s="186" t="s">
        <v>284</v>
      </c>
      <c r="M47" s="187">
        <v>0</v>
      </c>
      <c r="N47" s="187">
        <v>12</v>
      </c>
      <c r="O47" s="186">
        <v>0</v>
      </c>
      <c r="P47" s="187">
        <v>6</v>
      </c>
    </row>
    <row r="48" spans="1:16">
      <c r="A48" s="185">
        <v>47</v>
      </c>
      <c r="B48" s="186" t="s">
        <v>142</v>
      </c>
      <c r="C48" s="186">
        <v>5</v>
      </c>
      <c r="D48" s="186">
        <v>5</v>
      </c>
      <c r="E48" s="186" t="s">
        <v>233</v>
      </c>
      <c r="F48" s="186" t="s">
        <v>229</v>
      </c>
      <c r="G48" s="186">
        <v>112</v>
      </c>
      <c r="H48" s="186" t="s">
        <v>235</v>
      </c>
      <c r="I48" s="186" t="s">
        <v>136</v>
      </c>
      <c r="J48" s="186" t="s">
        <v>132</v>
      </c>
      <c r="K48" s="186" t="s">
        <v>132</v>
      </c>
      <c r="L48" s="186" t="s">
        <v>284</v>
      </c>
      <c r="M48" s="187">
        <v>0</v>
      </c>
      <c r="N48" s="187">
        <v>13</v>
      </c>
      <c r="O48" s="186">
        <v>0</v>
      </c>
      <c r="P48" s="187">
        <v>1</v>
      </c>
    </row>
    <row r="49" spans="1:16">
      <c r="A49" s="185">
        <v>48</v>
      </c>
      <c r="B49" s="186" t="s">
        <v>142</v>
      </c>
      <c r="C49" s="186">
        <v>3</v>
      </c>
      <c r="D49" s="186">
        <v>3</v>
      </c>
      <c r="E49" s="186" t="s">
        <v>233</v>
      </c>
      <c r="F49" s="186" t="s">
        <v>229</v>
      </c>
      <c r="G49" s="186">
        <v>28</v>
      </c>
      <c r="H49" s="186" t="s">
        <v>234</v>
      </c>
      <c r="I49" s="186" t="s">
        <v>136</v>
      </c>
      <c r="J49" s="186" t="s">
        <v>132</v>
      </c>
      <c r="K49" s="186" t="s">
        <v>132</v>
      </c>
      <c r="L49" s="186" t="s">
        <v>283</v>
      </c>
      <c r="M49" s="187">
        <v>15</v>
      </c>
      <c r="N49" s="187">
        <v>20</v>
      </c>
      <c r="O49" s="187">
        <v>11</v>
      </c>
      <c r="P49" s="187">
        <v>6</v>
      </c>
    </row>
    <row r="50" spans="1:16">
      <c r="A50" s="185">
        <v>49</v>
      </c>
      <c r="B50" s="186" t="s">
        <v>142</v>
      </c>
      <c r="C50" s="186">
        <v>3</v>
      </c>
      <c r="D50" s="186">
        <v>3</v>
      </c>
      <c r="E50" s="186" t="s">
        <v>233</v>
      </c>
      <c r="F50" s="186" t="s">
        <v>229</v>
      </c>
      <c r="G50" s="186">
        <v>70</v>
      </c>
      <c r="H50" s="186" t="s">
        <v>235</v>
      </c>
      <c r="I50" s="186" t="s">
        <v>136</v>
      </c>
      <c r="J50" s="186" t="s">
        <v>132</v>
      </c>
      <c r="K50" s="186" t="s">
        <v>132</v>
      </c>
      <c r="L50" s="186" t="s">
        <v>283</v>
      </c>
      <c r="M50" s="187">
        <v>7</v>
      </c>
      <c r="N50" s="187">
        <v>32</v>
      </c>
      <c r="O50" s="187">
        <v>2</v>
      </c>
      <c r="P50" s="187">
        <v>11</v>
      </c>
    </row>
    <row r="51" spans="1:16">
      <c r="A51" s="185">
        <v>50</v>
      </c>
      <c r="B51" s="186" t="s">
        <v>142</v>
      </c>
      <c r="C51" s="186">
        <v>5</v>
      </c>
      <c r="D51" s="186">
        <v>5</v>
      </c>
      <c r="E51" s="186" t="s">
        <v>233</v>
      </c>
      <c r="F51" s="186" t="s">
        <v>229</v>
      </c>
      <c r="G51" s="186">
        <v>126</v>
      </c>
      <c r="H51" s="186" t="s">
        <v>235</v>
      </c>
      <c r="I51" s="186" t="s">
        <v>136</v>
      </c>
      <c r="J51" s="186" t="s">
        <v>132</v>
      </c>
      <c r="K51" s="186" t="s">
        <v>132</v>
      </c>
      <c r="L51" s="186" t="s">
        <v>283</v>
      </c>
      <c r="M51" s="187">
        <v>14</v>
      </c>
      <c r="N51" s="187">
        <v>64</v>
      </c>
      <c r="O51" s="187">
        <v>5</v>
      </c>
      <c r="P51" s="187">
        <v>26</v>
      </c>
    </row>
    <row r="52" spans="1:16">
      <c r="A52" s="185">
        <v>51</v>
      </c>
      <c r="B52" s="186" t="s">
        <v>142</v>
      </c>
      <c r="C52" s="186">
        <v>3</v>
      </c>
      <c r="D52" s="186">
        <v>3</v>
      </c>
      <c r="E52" s="186" t="s">
        <v>233</v>
      </c>
      <c r="F52" s="186" t="s">
        <v>228</v>
      </c>
      <c r="G52" s="186">
        <v>28</v>
      </c>
      <c r="H52" s="186" t="s">
        <v>234</v>
      </c>
      <c r="I52" s="186" t="s">
        <v>136</v>
      </c>
      <c r="J52" s="186" t="s">
        <v>132</v>
      </c>
      <c r="K52" s="186" t="s">
        <v>132</v>
      </c>
      <c r="L52" s="186" t="s">
        <v>284</v>
      </c>
      <c r="M52" s="187">
        <v>1</v>
      </c>
      <c r="N52" s="187">
        <v>16</v>
      </c>
      <c r="O52" s="187">
        <v>1</v>
      </c>
      <c r="P52" s="187">
        <v>11</v>
      </c>
    </row>
    <row r="53" spans="1:16">
      <c r="A53" s="185">
        <v>52</v>
      </c>
      <c r="B53" s="186" t="s">
        <v>142</v>
      </c>
      <c r="C53" s="186">
        <v>3</v>
      </c>
      <c r="D53" s="186">
        <v>3</v>
      </c>
      <c r="E53" s="186" t="s">
        <v>233</v>
      </c>
      <c r="F53" s="186" t="s">
        <v>228</v>
      </c>
      <c r="G53" s="186">
        <v>70</v>
      </c>
      <c r="H53" s="186" t="s">
        <v>235</v>
      </c>
      <c r="I53" s="186" t="s">
        <v>136</v>
      </c>
      <c r="J53" s="186" t="s">
        <v>132</v>
      </c>
      <c r="K53" s="186" t="s">
        <v>132</v>
      </c>
      <c r="L53" s="186" t="s">
        <v>284</v>
      </c>
      <c r="M53" s="187">
        <v>2</v>
      </c>
      <c r="N53" s="187">
        <v>26</v>
      </c>
      <c r="O53" s="187">
        <v>3</v>
      </c>
      <c r="P53" s="187">
        <v>20</v>
      </c>
    </row>
    <row r="54" spans="1:16">
      <c r="A54" s="185">
        <v>53</v>
      </c>
      <c r="B54" s="186" t="s">
        <v>142</v>
      </c>
      <c r="C54" s="186">
        <v>6</v>
      </c>
      <c r="D54" s="186">
        <v>6</v>
      </c>
      <c r="E54" s="186" t="s">
        <v>233</v>
      </c>
      <c r="F54" s="186" t="s">
        <v>228</v>
      </c>
      <c r="G54" s="186">
        <v>126</v>
      </c>
      <c r="H54" s="186" t="s">
        <v>235</v>
      </c>
      <c r="I54" s="186" t="s">
        <v>136</v>
      </c>
      <c r="J54" s="186" t="s">
        <v>132</v>
      </c>
      <c r="K54" s="186" t="s">
        <v>132</v>
      </c>
      <c r="L54" s="186" t="s">
        <v>284</v>
      </c>
      <c r="M54" s="186" t="s">
        <v>132</v>
      </c>
      <c r="N54" s="187">
        <v>66</v>
      </c>
      <c r="O54" s="186" t="s">
        <v>132</v>
      </c>
      <c r="P54" s="187">
        <v>9</v>
      </c>
    </row>
    <row r="55" spans="1:16">
      <c r="A55" s="185">
        <v>54</v>
      </c>
      <c r="B55" s="186" t="s">
        <v>142</v>
      </c>
      <c r="C55" s="186">
        <v>3</v>
      </c>
      <c r="D55" s="186">
        <v>3</v>
      </c>
      <c r="E55" s="186" t="s">
        <v>233</v>
      </c>
      <c r="F55" s="186" t="s">
        <v>230</v>
      </c>
      <c r="G55" s="186">
        <v>28</v>
      </c>
      <c r="H55" s="186" t="s">
        <v>234</v>
      </c>
      <c r="I55" s="186" t="s">
        <v>136</v>
      </c>
      <c r="J55" s="186" t="s">
        <v>132</v>
      </c>
      <c r="K55" s="186" t="s">
        <v>132</v>
      </c>
      <c r="L55" s="186" t="s">
        <v>284</v>
      </c>
      <c r="M55" s="187">
        <v>5</v>
      </c>
      <c r="N55" s="187">
        <v>31</v>
      </c>
      <c r="O55" s="187">
        <v>5</v>
      </c>
      <c r="P55" s="187">
        <v>9</v>
      </c>
    </row>
    <row r="56" spans="1:16">
      <c r="A56" s="185">
        <v>55</v>
      </c>
      <c r="B56" s="186" t="s">
        <v>142</v>
      </c>
      <c r="C56" s="186">
        <v>3</v>
      </c>
      <c r="D56" s="186">
        <v>3</v>
      </c>
      <c r="E56" s="186" t="s">
        <v>233</v>
      </c>
      <c r="F56" s="186" t="s">
        <v>230</v>
      </c>
      <c r="G56" s="186">
        <v>70</v>
      </c>
      <c r="H56" s="186" t="s">
        <v>235</v>
      </c>
      <c r="I56" s="186" t="s">
        <v>136</v>
      </c>
      <c r="J56" s="186" t="s">
        <v>132</v>
      </c>
      <c r="K56" s="186" t="s">
        <v>132</v>
      </c>
      <c r="L56" s="186" t="s">
        <v>284</v>
      </c>
      <c r="M56" s="187">
        <v>36</v>
      </c>
      <c r="N56" s="187">
        <v>90</v>
      </c>
      <c r="O56" s="187">
        <v>5</v>
      </c>
      <c r="P56" s="187">
        <v>6</v>
      </c>
    </row>
    <row r="57" spans="1:16">
      <c r="A57" s="185">
        <v>56</v>
      </c>
      <c r="B57" s="186" t="s">
        <v>142</v>
      </c>
      <c r="C57" s="186">
        <v>6</v>
      </c>
      <c r="D57" s="186">
        <v>6</v>
      </c>
      <c r="E57" s="186" t="s">
        <v>233</v>
      </c>
      <c r="F57" s="186" t="s">
        <v>230</v>
      </c>
      <c r="G57" s="186">
        <v>126</v>
      </c>
      <c r="H57" s="186" t="s">
        <v>235</v>
      </c>
      <c r="I57" s="186" t="s">
        <v>136</v>
      </c>
      <c r="J57" s="186" t="s">
        <v>132</v>
      </c>
      <c r="K57" s="186" t="s">
        <v>132</v>
      </c>
      <c r="L57" s="186" t="s">
        <v>284</v>
      </c>
      <c r="M57" s="187">
        <v>47</v>
      </c>
      <c r="N57" s="187">
        <v>95</v>
      </c>
      <c r="O57" s="187">
        <v>23</v>
      </c>
      <c r="P57" s="187">
        <v>7</v>
      </c>
    </row>
    <row r="58" spans="1:16">
      <c r="A58" s="185">
        <v>57</v>
      </c>
      <c r="B58" s="186" t="s">
        <v>143</v>
      </c>
      <c r="C58" s="186">
        <v>6</v>
      </c>
      <c r="D58" s="186">
        <v>6</v>
      </c>
      <c r="E58" s="186" t="s">
        <v>233</v>
      </c>
      <c r="F58" s="186" t="s">
        <v>228</v>
      </c>
      <c r="G58" s="186">
        <v>56</v>
      </c>
      <c r="H58" s="186" t="s">
        <v>234</v>
      </c>
      <c r="I58" s="186" t="s">
        <v>136</v>
      </c>
      <c r="J58" s="186" t="s">
        <v>132</v>
      </c>
      <c r="K58" s="186" t="s">
        <v>132</v>
      </c>
      <c r="L58" s="186" t="s">
        <v>285</v>
      </c>
      <c r="M58" s="187">
        <v>9</v>
      </c>
      <c r="N58" s="187">
        <v>9</v>
      </c>
      <c r="O58" s="187">
        <v>7</v>
      </c>
      <c r="P58" s="187">
        <v>5</v>
      </c>
    </row>
    <row r="59" spans="1:16">
      <c r="A59" s="185">
        <v>58</v>
      </c>
      <c r="B59" s="186" t="s">
        <v>143</v>
      </c>
      <c r="C59" s="186">
        <v>6</v>
      </c>
      <c r="D59" s="186">
        <v>6</v>
      </c>
      <c r="E59" s="186" t="s">
        <v>233</v>
      </c>
      <c r="F59" s="186" t="s">
        <v>230</v>
      </c>
      <c r="G59" s="186">
        <v>56</v>
      </c>
      <c r="H59" s="186" t="s">
        <v>234</v>
      </c>
      <c r="I59" s="186" t="s">
        <v>136</v>
      </c>
      <c r="J59" s="186" t="s">
        <v>132</v>
      </c>
      <c r="K59" s="186" t="s">
        <v>132</v>
      </c>
      <c r="L59" s="186" t="s">
        <v>285</v>
      </c>
      <c r="M59" s="187">
        <v>9</v>
      </c>
      <c r="N59" s="187">
        <v>26</v>
      </c>
      <c r="O59" s="187">
        <v>5</v>
      </c>
      <c r="P59" s="187">
        <v>16</v>
      </c>
    </row>
    <row r="60" spans="1:16">
      <c r="A60" s="185">
        <v>59</v>
      </c>
      <c r="B60" s="186" t="s">
        <v>143</v>
      </c>
      <c r="C60" s="186">
        <v>6</v>
      </c>
      <c r="D60" s="186">
        <v>6</v>
      </c>
      <c r="E60" s="186" t="s">
        <v>233</v>
      </c>
      <c r="F60" s="186" t="s">
        <v>228</v>
      </c>
      <c r="G60" s="186">
        <v>56</v>
      </c>
      <c r="H60" s="186" t="s">
        <v>234</v>
      </c>
      <c r="I60" s="186" t="s">
        <v>136</v>
      </c>
      <c r="J60" s="186" t="s">
        <v>132</v>
      </c>
      <c r="K60" s="186" t="s">
        <v>132</v>
      </c>
      <c r="L60" s="186" t="s">
        <v>285</v>
      </c>
      <c r="M60" s="187">
        <v>7</v>
      </c>
      <c r="N60" s="187">
        <v>54</v>
      </c>
      <c r="O60" s="187">
        <v>5</v>
      </c>
      <c r="P60" s="187">
        <v>9</v>
      </c>
    </row>
    <row r="61" spans="1:16">
      <c r="A61" s="185">
        <v>60</v>
      </c>
      <c r="B61" s="186" t="s">
        <v>143</v>
      </c>
      <c r="C61" s="186">
        <v>6</v>
      </c>
      <c r="D61" s="186">
        <v>6</v>
      </c>
      <c r="E61" s="186" t="s">
        <v>233</v>
      </c>
      <c r="F61" s="186" t="s">
        <v>230</v>
      </c>
      <c r="G61" s="186">
        <v>56</v>
      </c>
      <c r="H61" s="186" t="s">
        <v>234</v>
      </c>
      <c r="I61" s="186" t="s">
        <v>136</v>
      </c>
      <c r="J61" s="186" t="s">
        <v>132</v>
      </c>
      <c r="K61" s="186" t="s">
        <v>132</v>
      </c>
      <c r="L61" s="186" t="s">
        <v>285</v>
      </c>
      <c r="M61" s="187">
        <v>16</v>
      </c>
      <c r="N61" s="187">
        <v>48</v>
      </c>
      <c r="O61" s="187">
        <v>13</v>
      </c>
      <c r="P61" s="187">
        <v>15</v>
      </c>
    </row>
    <row r="62" spans="1:16">
      <c r="A62" s="185">
        <v>61</v>
      </c>
      <c r="B62" s="186" t="s">
        <v>144</v>
      </c>
      <c r="C62" s="186">
        <v>3</v>
      </c>
      <c r="D62" s="186">
        <v>3</v>
      </c>
      <c r="E62" s="186" t="s">
        <v>233</v>
      </c>
      <c r="F62" s="186" t="s">
        <v>229</v>
      </c>
      <c r="G62" s="186">
        <v>56</v>
      </c>
      <c r="H62" s="186" t="s">
        <v>234</v>
      </c>
      <c r="I62" s="186" t="s">
        <v>136</v>
      </c>
      <c r="J62" s="186" t="s">
        <v>132</v>
      </c>
      <c r="K62" s="186" t="s">
        <v>132</v>
      </c>
      <c r="L62" s="186" t="s">
        <v>132</v>
      </c>
      <c r="M62" s="186">
        <v>0</v>
      </c>
      <c r="N62" s="186">
        <v>73</v>
      </c>
      <c r="O62" s="185">
        <v>0</v>
      </c>
      <c r="P62" s="185">
        <v>5.19</v>
      </c>
    </row>
    <row r="63" spans="1:16">
      <c r="A63" s="185">
        <v>62</v>
      </c>
      <c r="B63" s="186" t="s">
        <v>144</v>
      </c>
      <c r="C63" s="186">
        <v>3</v>
      </c>
      <c r="D63" s="186">
        <v>3</v>
      </c>
      <c r="E63" s="186" t="s">
        <v>233</v>
      </c>
      <c r="F63" s="186" t="s">
        <v>230</v>
      </c>
      <c r="G63" s="186">
        <v>56</v>
      </c>
      <c r="H63" s="186" t="s">
        <v>234</v>
      </c>
      <c r="I63" s="186" t="s">
        <v>136</v>
      </c>
      <c r="J63" s="186" t="s">
        <v>132</v>
      </c>
      <c r="K63" s="186" t="s">
        <v>132</v>
      </c>
      <c r="L63" s="186" t="s">
        <v>132</v>
      </c>
      <c r="M63" s="186">
        <v>19</v>
      </c>
      <c r="N63" s="186">
        <v>88</v>
      </c>
      <c r="O63" s="185">
        <v>5.19</v>
      </c>
      <c r="P63" s="185">
        <v>3.46</v>
      </c>
    </row>
    <row r="64" spans="1:16">
      <c r="A64" s="185">
        <v>63</v>
      </c>
      <c r="B64" s="186" t="s">
        <v>144</v>
      </c>
      <c r="C64" s="186">
        <v>3</v>
      </c>
      <c r="D64" s="186">
        <v>3</v>
      </c>
      <c r="E64" s="186" t="s">
        <v>233</v>
      </c>
      <c r="F64" s="186" t="s">
        <v>228</v>
      </c>
      <c r="G64" s="186">
        <v>56</v>
      </c>
      <c r="H64" s="186" t="s">
        <v>234</v>
      </c>
      <c r="I64" s="186" t="s">
        <v>136</v>
      </c>
      <c r="J64" s="186" t="s">
        <v>132</v>
      </c>
      <c r="K64" s="186" t="s">
        <v>132</v>
      </c>
      <c r="L64" s="186" t="s">
        <v>132</v>
      </c>
      <c r="M64" s="186">
        <v>0</v>
      </c>
      <c r="N64" s="186">
        <v>56</v>
      </c>
      <c r="O64" s="185">
        <v>0</v>
      </c>
      <c r="P64" s="185">
        <v>3.46</v>
      </c>
    </row>
    <row r="65" spans="1:16">
      <c r="A65" s="185">
        <v>64</v>
      </c>
      <c r="B65" s="186" t="s">
        <v>144</v>
      </c>
      <c r="C65" s="186">
        <v>4</v>
      </c>
      <c r="D65" s="186">
        <v>4</v>
      </c>
      <c r="E65" s="186" t="s">
        <v>233</v>
      </c>
      <c r="F65" s="186" t="s">
        <v>229</v>
      </c>
      <c r="G65" s="186">
        <v>56</v>
      </c>
      <c r="H65" s="186" t="s">
        <v>234</v>
      </c>
      <c r="I65" s="186" t="s">
        <v>136</v>
      </c>
      <c r="J65" s="186" t="s">
        <v>132</v>
      </c>
      <c r="K65" s="186" t="s">
        <v>132</v>
      </c>
      <c r="L65" s="186" t="s">
        <v>132</v>
      </c>
      <c r="M65" s="186">
        <v>0</v>
      </c>
      <c r="N65" s="186">
        <v>79</v>
      </c>
      <c r="O65" s="185">
        <v>0</v>
      </c>
      <c r="P65" s="185">
        <v>8.65</v>
      </c>
    </row>
    <row r="66" spans="1:16">
      <c r="A66" s="185">
        <v>65</v>
      </c>
      <c r="B66" s="186" t="s">
        <v>144</v>
      </c>
      <c r="C66" s="186">
        <v>4</v>
      </c>
      <c r="D66" s="186">
        <v>4</v>
      </c>
      <c r="E66" s="186" t="s">
        <v>233</v>
      </c>
      <c r="F66" s="186" t="s">
        <v>230</v>
      </c>
      <c r="G66" s="186">
        <v>56</v>
      </c>
      <c r="H66" s="186" t="s">
        <v>234</v>
      </c>
      <c r="I66" s="186" t="s">
        <v>136</v>
      </c>
      <c r="J66" s="186" t="s">
        <v>132</v>
      </c>
      <c r="K66" s="186" t="s">
        <v>132</v>
      </c>
      <c r="L66" s="186" t="s">
        <v>132</v>
      </c>
      <c r="M66" s="186">
        <v>35</v>
      </c>
      <c r="N66" s="186">
        <v>81</v>
      </c>
      <c r="O66" s="185">
        <v>6.92</v>
      </c>
      <c r="P66" s="185">
        <v>1.73</v>
      </c>
    </row>
    <row r="67" spans="1:16">
      <c r="A67" s="185">
        <v>66</v>
      </c>
      <c r="B67" s="186" t="s">
        <v>144</v>
      </c>
      <c r="C67" s="186">
        <v>4</v>
      </c>
      <c r="D67" s="186">
        <v>4</v>
      </c>
      <c r="E67" s="186" t="s">
        <v>233</v>
      </c>
      <c r="F67" s="186" t="s">
        <v>228</v>
      </c>
      <c r="G67" s="186">
        <v>56</v>
      </c>
      <c r="H67" s="186" t="s">
        <v>234</v>
      </c>
      <c r="I67" s="186" t="s">
        <v>136</v>
      </c>
      <c r="J67" s="186" t="s">
        <v>132</v>
      </c>
      <c r="K67" s="186" t="s">
        <v>132</v>
      </c>
      <c r="L67" s="186" t="s">
        <v>132</v>
      </c>
      <c r="M67" s="186">
        <v>0</v>
      </c>
      <c r="N67" s="186">
        <v>55</v>
      </c>
      <c r="O67" s="185">
        <v>0</v>
      </c>
      <c r="P67" s="185">
        <v>8.65</v>
      </c>
    </row>
    <row r="68" spans="1:16">
      <c r="A68" s="185">
        <v>67</v>
      </c>
      <c r="B68" s="186" t="s">
        <v>145</v>
      </c>
      <c r="C68" s="186">
        <v>4</v>
      </c>
      <c r="D68" s="186">
        <v>4</v>
      </c>
      <c r="E68" s="186" t="s">
        <v>233</v>
      </c>
      <c r="F68" s="186" t="s">
        <v>229</v>
      </c>
      <c r="G68" s="186">
        <v>63</v>
      </c>
      <c r="H68" s="186" t="s">
        <v>234</v>
      </c>
      <c r="I68" s="186" t="s">
        <v>136</v>
      </c>
      <c r="J68" s="186" t="s">
        <v>132</v>
      </c>
      <c r="K68" s="186" t="s">
        <v>132</v>
      </c>
      <c r="L68" s="186" t="s">
        <v>132</v>
      </c>
      <c r="M68" s="187">
        <v>4</v>
      </c>
      <c r="N68" s="187">
        <v>29</v>
      </c>
      <c r="O68" s="186">
        <v>0.41699999999999998</v>
      </c>
      <c r="P68" s="186">
        <v>2.92</v>
      </c>
    </row>
    <row r="69" spans="1:16">
      <c r="A69" s="185">
        <v>68</v>
      </c>
      <c r="B69" s="186" t="s">
        <v>146</v>
      </c>
      <c r="C69" s="186">
        <v>5</v>
      </c>
      <c r="D69" s="186">
        <v>5</v>
      </c>
      <c r="E69" s="186" t="s">
        <v>231</v>
      </c>
      <c r="F69" s="186" t="s">
        <v>231</v>
      </c>
      <c r="G69" s="186">
        <v>63</v>
      </c>
      <c r="H69" s="186" t="s">
        <v>234</v>
      </c>
      <c r="I69" s="186" t="s">
        <v>136</v>
      </c>
      <c r="J69" s="185" t="s">
        <v>240</v>
      </c>
      <c r="K69" s="186" t="s">
        <v>240</v>
      </c>
      <c r="L69" s="186" t="s">
        <v>283</v>
      </c>
      <c r="M69" s="188">
        <v>1.2</v>
      </c>
      <c r="N69" s="186">
        <v>87.4</v>
      </c>
      <c r="O69" s="188">
        <v>1.1000000000000001</v>
      </c>
      <c r="P69" s="188">
        <v>4.2</v>
      </c>
    </row>
    <row r="70" spans="1:16">
      <c r="A70" s="185">
        <v>69</v>
      </c>
      <c r="B70" s="186" t="s">
        <v>146</v>
      </c>
      <c r="C70" s="186">
        <v>5</v>
      </c>
      <c r="D70" s="186">
        <v>5</v>
      </c>
      <c r="E70" s="186" t="s">
        <v>231</v>
      </c>
      <c r="F70" s="186" t="s">
        <v>231</v>
      </c>
      <c r="G70" s="186">
        <v>63</v>
      </c>
      <c r="H70" s="186" t="s">
        <v>234</v>
      </c>
      <c r="I70" s="186" t="s">
        <v>136</v>
      </c>
      <c r="J70" s="185" t="s">
        <v>239</v>
      </c>
      <c r="K70" s="186" t="s">
        <v>240</v>
      </c>
      <c r="L70" s="186" t="s">
        <v>283</v>
      </c>
      <c r="M70" s="188">
        <v>0</v>
      </c>
      <c r="N70" s="186">
        <v>61.6</v>
      </c>
      <c r="O70" s="188">
        <v>0</v>
      </c>
      <c r="P70" s="188">
        <v>9</v>
      </c>
    </row>
    <row r="71" spans="1:16">
      <c r="A71" s="185">
        <v>70</v>
      </c>
      <c r="B71" s="186" t="s">
        <v>146</v>
      </c>
      <c r="C71" s="186">
        <v>5</v>
      </c>
      <c r="D71" s="186">
        <v>5</v>
      </c>
      <c r="E71" s="186" t="s">
        <v>231</v>
      </c>
      <c r="F71" s="186" t="s">
        <v>231</v>
      </c>
      <c r="G71" s="186">
        <v>63</v>
      </c>
      <c r="H71" s="186" t="s">
        <v>234</v>
      </c>
      <c r="I71" s="186" t="s">
        <v>136</v>
      </c>
      <c r="J71" s="185" t="s">
        <v>239</v>
      </c>
      <c r="K71" s="186" t="s">
        <v>240</v>
      </c>
      <c r="L71" s="186" t="s">
        <v>283</v>
      </c>
      <c r="M71" s="188">
        <v>0.2</v>
      </c>
      <c r="N71" s="186">
        <v>57.6</v>
      </c>
      <c r="O71" s="188">
        <v>0.4</v>
      </c>
      <c r="P71" s="188">
        <v>3.4</v>
      </c>
    </row>
    <row r="72" spans="1:16">
      <c r="A72" s="185">
        <v>71</v>
      </c>
      <c r="B72" s="186" t="s">
        <v>146</v>
      </c>
      <c r="C72" s="186">
        <v>5</v>
      </c>
      <c r="D72" s="186">
        <v>5</v>
      </c>
      <c r="E72" s="186" t="s">
        <v>231</v>
      </c>
      <c r="F72" s="186" t="s">
        <v>231</v>
      </c>
      <c r="G72" s="186">
        <v>63</v>
      </c>
      <c r="H72" s="186" t="s">
        <v>234</v>
      </c>
      <c r="I72" s="186" t="s">
        <v>136</v>
      </c>
      <c r="J72" s="185" t="s">
        <v>239</v>
      </c>
      <c r="K72" s="186" t="s">
        <v>240</v>
      </c>
      <c r="L72" s="186" t="s">
        <v>283</v>
      </c>
      <c r="M72" s="188">
        <v>0.4</v>
      </c>
      <c r="N72" s="186">
        <v>51.8</v>
      </c>
      <c r="O72" s="188">
        <v>0.5</v>
      </c>
      <c r="P72" s="188">
        <v>10.4</v>
      </c>
    </row>
    <row r="73" spans="1:16">
      <c r="A73" s="185">
        <v>72</v>
      </c>
      <c r="B73" s="186" t="s">
        <v>146</v>
      </c>
      <c r="C73" s="186">
        <v>5</v>
      </c>
      <c r="D73" s="186">
        <v>5</v>
      </c>
      <c r="E73" s="186" t="s">
        <v>231</v>
      </c>
      <c r="F73" s="186" t="s">
        <v>231</v>
      </c>
      <c r="G73" s="186">
        <v>63</v>
      </c>
      <c r="H73" s="186" t="s">
        <v>234</v>
      </c>
      <c r="I73" s="186" t="s">
        <v>136</v>
      </c>
      <c r="J73" s="185" t="s">
        <v>239</v>
      </c>
      <c r="K73" s="186" t="s">
        <v>240</v>
      </c>
      <c r="L73" s="186" t="s">
        <v>283</v>
      </c>
      <c r="M73" s="188">
        <v>0</v>
      </c>
      <c r="N73" s="186">
        <v>41.4</v>
      </c>
      <c r="O73" s="188">
        <v>0</v>
      </c>
      <c r="P73" s="188">
        <v>14.1</v>
      </c>
    </row>
    <row r="74" spans="1:16">
      <c r="A74" s="185">
        <v>73</v>
      </c>
      <c r="B74" s="186" t="s">
        <v>146</v>
      </c>
      <c r="C74" s="186">
        <v>5</v>
      </c>
      <c r="D74" s="186">
        <v>5</v>
      </c>
      <c r="E74" s="186" t="s">
        <v>231</v>
      </c>
      <c r="F74" s="186" t="s">
        <v>231</v>
      </c>
      <c r="G74" s="186">
        <v>63</v>
      </c>
      <c r="H74" s="186" t="s">
        <v>234</v>
      </c>
      <c r="I74" s="186" t="s">
        <v>136</v>
      </c>
      <c r="J74" s="185" t="s">
        <v>240</v>
      </c>
      <c r="K74" s="185" t="s">
        <v>241</v>
      </c>
      <c r="L74" s="186" t="s">
        <v>283</v>
      </c>
      <c r="M74" s="188">
        <v>1</v>
      </c>
      <c r="N74" s="186">
        <v>53</v>
      </c>
      <c r="O74" s="188">
        <v>1.4</v>
      </c>
      <c r="P74" s="188">
        <v>7.8</v>
      </c>
    </row>
    <row r="75" spans="1:16">
      <c r="A75" s="185">
        <v>74</v>
      </c>
      <c r="B75" s="186" t="s">
        <v>146</v>
      </c>
      <c r="C75" s="186">
        <v>5</v>
      </c>
      <c r="D75" s="186">
        <v>5</v>
      </c>
      <c r="E75" s="186" t="s">
        <v>231</v>
      </c>
      <c r="F75" s="186" t="s">
        <v>231</v>
      </c>
      <c r="G75" s="186">
        <v>63</v>
      </c>
      <c r="H75" s="186" t="s">
        <v>234</v>
      </c>
      <c r="I75" s="186" t="s">
        <v>136</v>
      </c>
      <c r="J75" s="185" t="s">
        <v>239</v>
      </c>
      <c r="K75" s="185" t="s">
        <v>241</v>
      </c>
      <c r="L75" s="186" t="s">
        <v>283</v>
      </c>
      <c r="M75" s="188">
        <v>0.4</v>
      </c>
      <c r="N75" s="186">
        <v>32.200000000000003</v>
      </c>
      <c r="O75" s="188">
        <v>0.5</v>
      </c>
      <c r="P75" s="188">
        <v>7</v>
      </c>
    </row>
    <row r="76" spans="1:16">
      <c r="A76" s="185">
        <v>75</v>
      </c>
      <c r="B76" s="186" t="s">
        <v>146</v>
      </c>
      <c r="C76" s="186">
        <v>5</v>
      </c>
      <c r="D76" s="186">
        <v>5</v>
      </c>
      <c r="E76" s="186" t="s">
        <v>231</v>
      </c>
      <c r="F76" s="186" t="s">
        <v>231</v>
      </c>
      <c r="G76" s="186">
        <v>63</v>
      </c>
      <c r="H76" s="186" t="s">
        <v>234</v>
      </c>
      <c r="I76" s="186" t="s">
        <v>136</v>
      </c>
      <c r="J76" s="185" t="s">
        <v>239</v>
      </c>
      <c r="K76" s="185" t="s">
        <v>241</v>
      </c>
      <c r="L76" s="186" t="s">
        <v>283</v>
      </c>
      <c r="M76" s="188">
        <v>0.2</v>
      </c>
      <c r="N76" s="186">
        <v>26.2</v>
      </c>
      <c r="O76" s="188">
        <v>0.4</v>
      </c>
      <c r="P76" s="188">
        <v>4.8</v>
      </c>
    </row>
    <row r="77" spans="1:16">
      <c r="A77" s="185">
        <v>76</v>
      </c>
      <c r="B77" s="186" t="s">
        <v>146</v>
      </c>
      <c r="C77" s="186">
        <v>5</v>
      </c>
      <c r="D77" s="186">
        <v>5</v>
      </c>
      <c r="E77" s="186" t="s">
        <v>231</v>
      </c>
      <c r="F77" s="186" t="s">
        <v>231</v>
      </c>
      <c r="G77" s="186">
        <v>63</v>
      </c>
      <c r="H77" s="186" t="s">
        <v>234</v>
      </c>
      <c r="I77" s="186" t="s">
        <v>136</v>
      </c>
      <c r="J77" s="185" t="s">
        <v>239</v>
      </c>
      <c r="K77" s="185" t="s">
        <v>241</v>
      </c>
      <c r="L77" s="186" t="s">
        <v>283</v>
      </c>
      <c r="M77" s="188">
        <v>1.6</v>
      </c>
      <c r="N77" s="186">
        <v>28.6</v>
      </c>
      <c r="O77" s="188">
        <v>1.1000000000000001</v>
      </c>
      <c r="P77" s="188">
        <v>11.1</v>
      </c>
    </row>
    <row r="78" spans="1:16">
      <c r="A78" s="185">
        <v>77</v>
      </c>
      <c r="B78" s="186" t="s">
        <v>146</v>
      </c>
      <c r="C78" s="186">
        <v>5</v>
      </c>
      <c r="D78" s="186">
        <v>5</v>
      </c>
      <c r="E78" s="186" t="s">
        <v>231</v>
      </c>
      <c r="F78" s="186" t="s">
        <v>231</v>
      </c>
      <c r="G78" s="186">
        <v>63</v>
      </c>
      <c r="H78" s="186" t="s">
        <v>234</v>
      </c>
      <c r="I78" s="186" t="s">
        <v>136</v>
      </c>
      <c r="J78" s="185" t="s">
        <v>239</v>
      </c>
      <c r="K78" s="185" t="s">
        <v>241</v>
      </c>
      <c r="L78" s="186" t="s">
        <v>283</v>
      </c>
      <c r="M78" s="188">
        <v>1</v>
      </c>
      <c r="N78" s="186">
        <v>14.8</v>
      </c>
      <c r="O78" s="188">
        <v>1</v>
      </c>
      <c r="P78" s="188">
        <v>3.2</v>
      </c>
    </row>
    <row r="79" spans="1:16">
      <c r="A79" s="185">
        <v>78</v>
      </c>
      <c r="B79" s="186" t="s">
        <v>147</v>
      </c>
      <c r="C79" s="186">
        <v>5</v>
      </c>
      <c r="D79" s="186">
        <v>5</v>
      </c>
      <c r="E79" s="186" t="s">
        <v>231</v>
      </c>
      <c r="F79" s="186" t="s">
        <v>231</v>
      </c>
      <c r="G79" s="186">
        <v>63</v>
      </c>
      <c r="H79" s="186" t="s">
        <v>234</v>
      </c>
      <c r="I79" s="186" t="s">
        <v>136</v>
      </c>
      <c r="J79" s="185" t="s">
        <v>240</v>
      </c>
      <c r="K79" s="186" t="s">
        <v>240</v>
      </c>
      <c r="L79" s="186" t="s">
        <v>283</v>
      </c>
      <c r="M79" s="188">
        <v>0.8</v>
      </c>
      <c r="N79" s="187">
        <v>50</v>
      </c>
      <c r="O79" s="188">
        <v>0.8</v>
      </c>
      <c r="P79" s="187">
        <v>16</v>
      </c>
    </row>
    <row r="80" spans="1:16">
      <c r="A80" s="185">
        <v>79</v>
      </c>
      <c r="B80" s="186" t="s">
        <v>147</v>
      </c>
      <c r="C80" s="186">
        <v>5</v>
      </c>
      <c r="D80" s="186">
        <v>5</v>
      </c>
      <c r="E80" s="186" t="s">
        <v>231</v>
      </c>
      <c r="F80" s="186" t="s">
        <v>231</v>
      </c>
      <c r="G80" s="186">
        <v>63</v>
      </c>
      <c r="H80" s="186" t="s">
        <v>234</v>
      </c>
      <c r="I80" s="186" t="s">
        <v>136</v>
      </c>
      <c r="J80" s="185" t="s">
        <v>240</v>
      </c>
      <c r="K80" s="185" t="s">
        <v>241</v>
      </c>
      <c r="L80" s="186" t="s">
        <v>283</v>
      </c>
      <c r="M80" s="188">
        <v>0.4</v>
      </c>
      <c r="N80" s="187">
        <v>49</v>
      </c>
      <c r="O80" s="188">
        <v>0.5</v>
      </c>
      <c r="P80" s="187">
        <v>5</v>
      </c>
    </row>
    <row r="81" spans="1:16">
      <c r="A81" s="185">
        <v>80</v>
      </c>
      <c r="B81" s="186" t="s">
        <v>147</v>
      </c>
      <c r="C81" s="186">
        <v>5</v>
      </c>
      <c r="D81" s="186">
        <v>5</v>
      </c>
      <c r="E81" s="186" t="s">
        <v>231</v>
      </c>
      <c r="F81" s="186" t="s">
        <v>231</v>
      </c>
      <c r="G81" s="186">
        <v>63</v>
      </c>
      <c r="H81" s="186" t="s">
        <v>234</v>
      </c>
      <c r="I81" s="186" t="s">
        <v>136</v>
      </c>
      <c r="J81" s="185" t="s">
        <v>240</v>
      </c>
      <c r="K81" s="185" t="s">
        <v>241</v>
      </c>
      <c r="L81" s="186" t="s">
        <v>283</v>
      </c>
      <c r="M81" s="188">
        <v>0.4</v>
      </c>
      <c r="N81" s="187">
        <v>46</v>
      </c>
      <c r="O81" s="188">
        <v>0.5</v>
      </c>
      <c r="P81" s="187">
        <v>9</v>
      </c>
    </row>
    <row r="82" spans="1:16">
      <c r="A82" s="185">
        <v>81</v>
      </c>
      <c r="B82" s="186" t="s">
        <v>147</v>
      </c>
      <c r="C82" s="186">
        <v>5</v>
      </c>
      <c r="D82" s="186">
        <v>5</v>
      </c>
      <c r="E82" s="186" t="s">
        <v>231</v>
      </c>
      <c r="F82" s="186" t="s">
        <v>231</v>
      </c>
      <c r="G82" s="186">
        <v>63</v>
      </c>
      <c r="H82" s="186" t="s">
        <v>234</v>
      </c>
      <c r="I82" s="186" t="s">
        <v>136</v>
      </c>
      <c r="J82" s="185" t="s">
        <v>240</v>
      </c>
      <c r="K82" s="185" t="s">
        <v>241</v>
      </c>
      <c r="L82" s="186" t="s">
        <v>283</v>
      </c>
      <c r="M82" s="188">
        <v>0.8</v>
      </c>
      <c r="N82" s="187">
        <v>40</v>
      </c>
      <c r="O82" s="188">
        <v>0.8</v>
      </c>
      <c r="P82" s="187">
        <v>8</v>
      </c>
    </row>
    <row r="83" spans="1:16">
      <c r="A83" s="185">
        <v>82</v>
      </c>
      <c r="B83" s="186" t="s">
        <v>147</v>
      </c>
      <c r="C83" s="186">
        <v>5</v>
      </c>
      <c r="D83" s="186">
        <v>5</v>
      </c>
      <c r="E83" s="186" t="s">
        <v>231</v>
      </c>
      <c r="F83" s="186" t="s">
        <v>231</v>
      </c>
      <c r="G83" s="186">
        <v>63</v>
      </c>
      <c r="H83" s="186" t="s">
        <v>234</v>
      </c>
      <c r="I83" s="186" t="s">
        <v>136</v>
      </c>
      <c r="J83" s="185" t="s">
        <v>240</v>
      </c>
      <c r="K83" s="185" t="s">
        <v>241</v>
      </c>
      <c r="L83" s="186" t="s">
        <v>283</v>
      </c>
      <c r="M83" s="188">
        <v>0.6</v>
      </c>
      <c r="N83" s="187">
        <v>23</v>
      </c>
      <c r="O83" s="188">
        <v>0.9</v>
      </c>
      <c r="P83" s="187">
        <v>7</v>
      </c>
    </row>
    <row r="84" spans="1:16">
      <c r="A84" s="185">
        <v>83</v>
      </c>
      <c r="B84" s="186" t="s">
        <v>147</v>
      </c>
      <c r="C84" s="186">
        <v>5</v>
      </c>
      <c r="D84" s="186">
        <v>5</v>
      </c>
      <c r="E84" s="186" t="s">
        <v>231</v>
      </c>
      <c r="F84" s="186" t="s">
        <v>231</v>
      </c>
      <c r="G84" s="186">
        <v>63</v>
      </c>
      <c r="H84" s="186" t="s">
        <v>234</v>
      </c>
      <c r="I84" s="186" t="s">
        <v>136</v>
      </c>
      <c r="J84" s="185" t="s">
        <v>239</v>
      </c>
      <c r="K84" s="186" t="s">
        <v>240</v>
      </c>
      <c r="L84" s="186" t="s">
        <v>283</v>
      </c>
      <c r="M84" s="188">
        <v>1</v>
      </c>
      <c r="N84" s="187">
        <v>24</v>
      </c>
      <c r="O84" s="188">
        <v>0.7</v>
      </c>
      <c r="P84" s="187">
        <v>4</v>
      </c>
    </row>
    <row r="85" spans="1:16">
      <c r="A85" s="185">
        <v>84</v>
      </c>
      <c r="B85" s="186" t="s">
        <v>147</v>
      </c>
      <c r="C85" s="186">
        <v>5</v>
      </c>
      <c r="D85" s="186">
        <v>5</v>
      </c>
      <c r="E85" s="186" t="s">
        <v>231</v>
      </c>
      <c r="F85" s="186" t="s">
        <v>231</v>
      </c>
      <c r="G85" s="186">
        <v>63</v>
      </c>
      <c r="H85" s="186" t="s">
        <v>234</v>
      </c>
      <c r="I85" s="186" t="s">
        <v>136</v>
      </c>
      <c r="J85" s="185" t="s">
        <v>239</v>
      </c>
      <c r="K85" s="185" t="s">
        <v>241</v>
      </c>
      <c r="L85" s="186" t="s">
        <v>283</v>
      </c>
      <c r="M85" s="188">
        <v>0.8</v>
      </c>
      <c r="N85" s="187">
        <v>26</v>
      </c>
      <c r="O85" s="188">
        <v>0.8</v>
      </c>
      <c r="P85" s="187">
        <v>4</v>
      </c>
    </row>
    <row r="86" spans="1:16">
      <c r="A86" s="185">
        <v>85</v>
      </c>
      <c r="B86" s="186" t="s">
        <v>147</v>
      </c>
      <c r="C86" s="186">
        <v>5</v>
      </c>
      <c r="D86" s="186">
        <v>5</v>
      </c>
      <c r="E86" s="186" t="s">
        <v>231</v>
      </c>
      <c r="F86" s="186" t="s">
        <v>231</v>
      </c>
      <c r="G86" s="186">
        <v>63</v>
      </c>
      <c r="H86" s="186" t="s">
        <v>234</v>
      </c>
      <c r="I86" s="186" t="s">
        <v>136</v>
      </c>
      <c r="J86" s="185" t="s">
        <v>239</v>
      </c>
      <c r="K86" s="185" t="s">
        <v>241</v>
      </c>
      <c r="L86" s="186" t="s">
        <v>283</v>
      </c>
      <c r="M86" s="188">
        <v>0.8</v>
      </c>
      <c r="N86" s="187">
        <v>16</v>
      </c>
      <c r="O86" s="188">
        <v>0.8</v>
      </c>
      <c r="P86" s="187">
        <v>2</v>
      </c>
    </row>
    <row r="87" spans="1:16">
      <c r="A87" s="185">
        <v>86</v>
      </c>
      <c r="B87" s="186" t="s">
        <v>147</v>
      </c>
      <c r="C87" s="186">
        <v>5</v>
      </c>
      <c r="D87" s="186">
        <v>5</v>
      </c>
      <c r="E87" s="186" t="s">
        <v>231</v>
      </c>
      <c r="F87" s="186" t="s">
        <v>231</v>
      </c>
      <c r="G87" s="186">
        <v>63</v>
      </c>
      <c r="H87" s="186" t="s">
        <v>234</v>
      </c>
      <c r="I87" s="186" t="s">
        <v>136</v>
      </c>
      <c r="J87" s="185" t="s">
        <v>239</v>
      </c>
      <c r="K87" s="185" t="s">
        <v>241</v>
      </c>
      <c r="L87" s="186" t="s">
        <v>283</v>
      </c>
      <c r="M87" s="188">
        <v>0.8</v>
      </c>
      <c r="N87" s="187">
        <v>10</v>
      </c>
      <c r="O87" s="188">
        <v>1.3</v>
      </c>
      <c r="P87" s="187">
        <v>3</v>
      </c>
    </row>
    <row r="88" spans="1:16">
      <c r="A88" s="185">
        <v>87</v>
      </c>
      <c r="B88" s="186" t="s">
        <v>147</v>
      </c>
      <c r="C88" s="186">
        <v>5</v>
      </c>
      <c r="D88" s="186">
        <v>5</v>
      </c>
      <c r="E88" s="186" t="s">
        <v>231</v>
      </c>
      <c r="F88" s="186" t="s">
        <v>231</v>
      </c>
      <c r="G88" s="186">
        <v>63</v>
      </c>
      <c r="H88" s="186" t="s">
        <v>234</v>
      </c>
      <c r="I88" s="186" t="s">
        <v>136</v>
      </c>
      <c r="J88" s="185" t="s">
        <v>239</v>
      </c>
      <c r="K88" s="185" t="s">
        <v>241</v>
      </c>
      <c r="L88" s="186" t="s">
        <v>283</v>
      </c>
      <c r="M88" s="188">
        <v>0.8</v>
      </c>
      <c r="N88" s="187">
        <v>5</v>
      </c>
      <c r="O88" s="188">
        <v>1.3</v>
      </c>
      <c r="P88" s="187">
        <v>1</v>
      </c>
    </row>
    <row r="89" spans="1:16">
      <c r="A89" s="185">
        <v>88</v>
      </c>
      <c r="B89" s="186" t="s">
        <v>148</v>
      </c>
      <c r="C89" s="186">
        <v>5</v>
      </c>
      <c r="D89" s="186">
        <v>5</v>
      </c>
      <c r="E89" s="186" t="s">
        <v>231</v>
      </c>
      <c r="F89" s="186" t="s">
        <v>231</v>
      </c>
      <c r="G89" s="186">
        <v>56</v>
      </c>
      <c r="H89" s="186" t="s">
        <v>234</v>
      </c>
      <c r="I89" s="186" t="s">
        <v>136</v>
      </c>
      <c r="J89" s="185" t="s">
        <v>239</v>
      </c>
      <c r="K89" s="185" t="s">
        <v>241</v>
      </c>
      <c r="L89" s="186" t="s">
        <v>283</v>
      </c>
      <c r="M89" s="186">
        <v>0</v>
      </c>
      <c r="N89" s="188">
        <v>34.5</v>
      </c>
      <c r="O89" s="188">
        <v>0</v>
      </c>
      <c r="P89" s="188">
        <v>11.6</v>
      </c>
    </row>
    <row r="90" spans="1:16">
      <c r="A90" s="185">
        <v>89</v>
      </c>
      <c r="B90" s="186" t="s">
        <v>148</v>
      </c>
      <c r="C90" s="186">
        <v>5</v>
      </c>
      <c r="D90" s="186">
        <v>5</v>
      </c>
      <c r="E90" s="186" t="s">
        <v>231</v>
      </c>
      <c r="F90" s="186" t="s">
        <v>231</v>
      </c>
      <c r="G90" s="186">
        <v>56</v>
      </c>
      <c r="H90" s="186" t="s">
        <v>234</v>
      </c>
      <c r="I90" s="186" t="s">
        <v>136</v>
      </c>
      <c r="J90" s="185" t="s">
        <v>239</v>
      </c>
      <c r="K90" s="185" t="s">
        <v>241</v>
      </c>
      <c r="L90" s="186" t="s">
        <v>283</v>
      </c>
      <c r="M90" s="186">
        <v>0.2</v>
      </c>
      <c r="N90" s="188">
        <v>24</v>
      </c>
      <c r="O90" s="188">
        <v>0.4</v>
      </c>
      <c r="P90" s="188">
        <v>7</v>
      </c>
    </row>
    <row r="91" spans="1:16">
      <c r="A91" s="185">
        <v>90</v>
      </c>
      <c r="B91" s="186" t="s">
        <v>148</v>
      </c>
      <c r="C91" s="186">
        <v>5</v>
      </c>
      <c r="D91" s="186">
        <v>5</v>
      </c>
      <c r="E91" s="186" t="s">
        <v>231</v>
      </c>
      <c r="F91" s="186" t="s">
        <v>231</v>
      </c>
      <c r="G91" s="186">
        <v>56</v>
      </c>
      <c r="H91" s="186" t="s">
        <v>234</v>
      </c>
      <c r="I91" s="186" t="s">
        <v>136</v>
      </c>
      <c r="J91" s="185" t="s">
        <v>239</v>
      </c>
      <c r="K91" s="185" t="s">
        <v>241</v>
      </c>
      <c r="L91" s="186" t="s">
        <v>283</v>
      </c>
      <c r="M91" s="186">
        <v>0.4</v>
      </c>
      <c r="N91" s="188">
        <v>27.9</v>
      </c>
      <c r="O91" s="188">
        <v>0.9</v>
      </c>
      <c r="P91" s="188">
        <v>7.4</v>
      </c>
    </row>
    <row r="92" spans="1:16">
      <c r="A92" s="185">
        <v>91</v>
      </c>
      <c r="B92" s="186" t="s">
        <v>148</v>
      </c>
      <c r="C92" s="186">
        <v>5</v>
      </c>
      <c r="D92" s="186">
        <v>5</v>
      </c>
      <c r="E92" s="186" t="s">
        <v>231</v>
      </c>
      <c r="F92" s="186" t="s">
        <v>231</v>
      </c>
      <c r="G92" s="186">
        <v>56</v>
      </c>
      <c r="H92" s="186" t="s">
        <v>234</v>
      </c>
      <c r="I92" s="186" t="s">
        <v>136</v>
      </c>
      <c r="J92" s="185" t="s">
        <v>239</v>
      </c>
      <c r="K92" s="185" t="s">
        <v>241</v>
      </c>
      <c r="L92" s="186" t="s">
        <v>283</v>
      </c>
      <c r="M92" s="186">
        <v>0.6</v>
      </c>
      <c r="N92" s="188">
        <v>28.5</v>
      </c>
      <c r="O92" s="188">
        <v>0.9</v>
      </c>
      <c r="P92" s="188">
        <v>6.1</v>
      </c>
    </row>
    <row r="93" spans="1:16">
      <c r="A93" s="185">
        <v>92</v>
      </c>
      <c r="B93" s="186" t="s">
        <v>148</v>
      </c>
      <c r="C93" s="186">
        <v>5</v>
      </c>
      <c r="D93" s="186">
        <v>5</v>
      </c>
      <c r="E93" s="186" t="s">
        <v>231</v>
      </c>
      <c r="F93" s="186" t="s">
        <v>231</v>
      </c>
      <c r="G93" s="186">
        <v>56</v>
      </c>
      <c r="H93" s="186" t="s">
        <v>234</v>
      </c>
      <c r="I93" s="186" t="s">
        <v>136</v>
      </c>
      <c r="J93" s="185" t="s">
        <v>239</v>
      </c>
      <c r="K93" s="185" t="s">
        <v>241</v>
      </c>
      <c r="L93" s="186" t="s">
        <v>283</v>
      </c>
      <c r="M93" s="186">
        <v>0.4</v>
      </c>
      <c r="N93" s="188">
        <v>25.6</v>
      </c>
      <c r="O93" s="188">
        <v>0.5</v>
      </c>
      <c r="P93" s="188">
        <v>13.3</v>
      </c>
    </row>
    <row r="94" spans="1:16">
      <c r="A94" s="185">
        <v>93</v>
      </c>
      <c r="B94" s="186" t="s">
        <v>148</v>
      </c>
      <c r="C94" s="186">
        <v>5</v>
      </c>
      <c r="D94" s="186">
        <v>5</v>
      </c>
      <c r="E94" s="186" t="s">
        <v>231</v>
      </c>
      <c r="F94" s="186" t="s">
        <v>231</v>
      </c>
      <c r="G94" s="186">
        <v>56</v>
      </c>
      <c r="H94" s="186" t="s">
        <v>234</v>
      </c>
      <c r="I94" s="186" t="s">
        <v>136</v>
      </c>
      <c r="J94" s="185" t="s">
        <v>239</v>
      </c>
      <c r="K94" s="185" t="s">
        <v>241</v>
      </c>
      <c r="L94" s="186" t="s">
        <v>283</v>
      </c>
      <c r="M94" s="186">
        <v>0</v>
      </c>
      <c r="N94" s="188">
        <v>30</v>
      </c>
      <c r="O94" s="188">
        <v>0</v>
      </c>
      <c r="P94" s="188">
        <v>2.9</v>
      </c>
    </row>
    <row r="95" spans="1:16">
      <c r="A95" s="185">
        <v>94</v>
      </c>
      <c r="B95" s="186" t="s">
        <v>149</v>
      </c>
      <c r="C95" s="186">
        <v>6</v>
      </c>
      <c r="D95" s="186">
        <v>6</v>
      </c>
      <c r="E95" s="186" t="s">
        <v>231</v>
      </c>
      <c r="F95" s="186" t="s">
        <v>231</v>
      </c>
      <c r="G95" s="186">
        <v>36</v>
      </c>
      <c r="H95" s="186" t="s">
        <v>234</v>
      </c>
      <c r="I95" s="186" t="s">
        <v>137</v>
      </c>
      <c r="J95" s="186" t="s">
        <v>132</v>
      </c>
      <c r="K95" s="186" t="s">
        <v>132</v>
      </c>
      <c r="L95" s="186" t="s">
        <v>283</v>
      </c>
      <c r="M95" s="186">
        <v>0</v>
      </c>
      <c r="N95" s="186">
        <v>23</v>
      </c>
      <c r="O95" s="186">
        <v>0</v>
      </c>
      <c r="P95" s="186">
        <v>3.6749999999999998</v>
      </c>
    </row>
    <row r="96" spans="1:16">
      <c r="A96" s="185">
        <v>95</v>
      </c>
      <c r="B96" s="186" t="s">
        <v>150</v>
      </c>
      <c r="C96" s="186">
        <v>4</v>
      </c>
      <c r="D96" s="186">
        <v>4</v>
      </c>
      <c r="E96" s="186" t="s">
        <v>233</v>
      </c>
      <c r="F96" s="186" t="s">
        <v>229</v>
      </c>
      <c r="G96" s="186" t="s">
        <v>132</v>
      </c>
      <c r="H96" s="186" t="s">
        <v>235</v>
      </c>
      <c r="I96" s="186" t="s">
        <v>136</v>
      </c>
      <c r="J96" s="186" t="s">
        <v>132</v>
      </c>
      <c r="K96" s="186" t="s">
        <v>132</v>
      </c>
      <c r="L96" s="186" t="s">
        <v>132</v>
      </c>
      <c r="M96" s="186">
        <v>16.3</v>
      </c>
      <c r="N96" s="186">
        <v>58.1</v>
      </c>
      <c r="O96" s="186">
        <v>1.63</v>
      </c>
      <c r="P96" s="186">
        <v>5.81</v>
      </c>
    </row>
    <row r="97" spans="1:16">
      <c r="A97" s="185">
        <v>96</v>
      </c>
      <c r="B97" s="186" t="s">
        <v>150</v>
      </c>
      <c r="C97" s="186">
        <v>4</v>
      </c>
      <c r="D97" s="186">
        <v>4</v>
      </c>
      <c r="E97" s="186" t="s">
        <v>233</v>
      </c>
      <c r="F97" s="186" t="s">
        <v>228</v>
      </c>
      <c r="G97" s="186" t="s">
        <v>132</v>
      </c>
      <c r="H97" s="186" t="s">
        <v>235</v>
      </c>
      <c r="I97" s="186" t="s">
        <v>136</v>
      </c>
      <c r="J97" s="186" t="s">
        <v>132</v>
      </c>
      <c r="K97" s="186" t="s">
        <v>132</v>
      </c>
      <c r="L97" s="186" t="s">
        <v>132</v>
      </c>
      <c r="M97" s="186">
        <v>6.7</v>
      </c>
      <c r="N97" s="186">
        <v>65.7</v>
      </c>
      <c r="O97" s="186">
        <v>0.67</v>
      </c>
      <c r="P97" s="186">
        <v>6.57</v>
      </c>
    </row>
    <row r="98" spans="1:16">
      <c r="A98" s="185">
        <v>97</v>
      </c>
      <c r="B98" s="186" t="s">
        <v>150</v>
      </c>
      <c r="C98" s="186">
        <v>4</v>
      </c>
      <c r="D98" s="186">
        <v>4</v>
      </c>
      <c r="E98" s="186" t="s">
        <v>233</v>
      </c>
      <c r="F98" s="186" t="s">
        <v>230</v>
      </c>
      <c r="G98" s="186" t="s">
        <v>132</v>
      </c>
      <c r="H98" s="186" t="s">
        <v>235</v>
      </c>
      <c r="I98" s="186" t="s">
        <v>136</v>
      </c>
      <c r="J98" s="186" t="s">
        <v>132</v>
      </c>
      <c r="K98" s="186" t="s">
        <v>132</v>
      </c>
      <c r="L98" s="186" t="s">
        <v>132</v>
      </c>
      <c r="M98" s="186">
        <v>29</v>
      </c>
      <c r="N98" s="186">
        <v>93.3</v>
      </c>
      <c r="O98" s="186">
        <v>2.9</v>
      </c>
      <c r="P98" s="186">
        <v>9.33</v>
      </c>
    </row>
    <row r="99" spans="1:16">
      <c r="A99" s="185">
        <v>98</v>
      </c>
      <c r="B99" s="186" t="s">
        <v>151</v>
      </c>
      <c r="C99" s="186">
        <v>10</v>
      </c>
      <c r="D99" s="186">
        <v>10</v>
      </c>
      <c r="E99" s="186" t="s">
        <v>231</v>
      </c>
      <c r="F99" s="186" t="s">
        <v>231</v>
      </c>
      <c r="G99" s="186">
        <v>84</v>
      </c>
      <c r="H99" s="186" t="s">
        <v>235</v>
      </c>
      <c r="I99" s="186" t="s">
        <v>136</v>
      </c>
      <c r="J99" s="186" t="s">
        <v>132</v>
      </c>
      <c r="K99" s="186" t="s">
        <v>132</v>
      </c>
      <c r="L99" s="186" t="s">
        <v>132</v>
      </c>
      <c r="M99" s="186">
        <v>0</v>
      </c>
      <c r="N99" s="186">
        <v>28</v>
      </c>
      <c r="O99" s="186">
        <v>0</v>
      </c>
      <c r="P99" s="186">
        <v>2.8</v>
      </c>
    </row>
    <row r="100" spans="1:16">
      <c r="A100" s="185">
        <v>99</v>
      </c>
      <c r="B100" s="186" t="s">
        <v>152</v>
      </c>
      <c r="C100" s="186">
        <v>3</v>
      </c>
      <c r="D100" s="186">
        <v>4</v>
      </c>
      <c r="E100" s="186" t="s">
        <v>231</v>
      </c>
      <c r="F100" s="186" t="s">
        <v>231</v>
      </c>
      <c r="G100" s="186">
        <v>70</v>
      </c>
      <c r="H100" s="186" t="s">
        <v>235</v>
      </c>
      <c r="I100" s="186" t="s">
        <v>136</v>
      </c>
      <c r="J100" s="186" t="s">
        <v>132</v>
      </c>
      <c r="K100" s="186" t="s">
        <v>132</v>
      </c>
      <c r="L100" s="186" t="s">
        <v>132</v>
      </c>
      <c r="M100" s="186">
        <v>0</v>
      </c>
      <c r="N100" s="186">
        <v>52.3</v>
      </c>
      <c r="O100" s="186">
        <v>0</v>
      </c>
      <c r="P100" s="186">
        <v>8</v>
      </c>
    </row>
    <row r="101" spans="1:16">
      <c r="A101" s="185"/>
      <c r="B101" s="186"/>
      <c r="C101" s="186"/>
      <c r="D101" s="186"/>
      <c r="E101" s="186"/>
      <c r="F101" s="186"/>
      <c r="G101" s="186"/>
      <c r="H101" s="186"/>
      <c r="I101" s="186"/>
      <c r="J101" s="185"/>
      <c r="K101" s="185"/>
      <c r="L101" s="185"/>
      <c r="M101" s="186"/>
      <c r="N101" s="186"/>
      <c r="O101" s="186"/>
      <c r="P101" s="186"/>
    </row>
    <row r="102" spans="1:16">
      <c r="A102" s="185"/>
      <c r="B102" s="186"/>
      <c r="C102" s="186"/>
      <c r="D102" s="186"/>
      <c r="E102" s="186"/>
      <c r="F102" s="186"/>
      <c r="G102" s="186"/>
      <c r="H102" s="186"/>
      <c r="I102" s="186"/>
      <c r="J102" s="185"/>
      <c r="K102" s="185"/>
      <c r="L102" s="185"/>
      <c r="M102" s="186"/>
      <c r="N102" s="186"/>
      <c r="O102" s="186"/>
      <c r="P102" s="186"/>
    </row>
    <row r="103" spans="1:16">
      <c r="A103" s="185"/>
      <c r="B103" s="186"/>
      <c r="C103" s="186"/>
      <c r="D103" s="186"/>
      <c r="E103" s="186"/>
      <c r="F103" s="186"/>
      <c r="G103" s="186"/>
      <c r="H103" s="186"/>
      <c r="I103" s="186"/>
      <c r="J103" s="185"/>
      <c r="K103" s="185"/>
      <c r="L103" s="185"/>
      <c r="M103" s="186"/>
      <c r="N103" s="186"/>
      <c r="O103" s="186"/>
      <c r="P103" s="186"/>
    </row>
    <row r="104" spans="1:16">
      <c r="A104" s="185"/>
      <c r="B104" s="186"/>
      <c r="C104" s="186"/>
      <c r="D104" s="186"/>
      <c r="E104" s="186"/>
      <c r="F104" s="186"/>
      <c r="G104" s="186"/>
      <c r="H104" s="186"/>
      <c r="I104" s="186"/>
      <c r="J104" s="185"/>
      <c r="K104" s="185"/>
      <c r="L104" s="185"/>
      <c r="M104" s="186"/>
      <c r="N104" s="186"/>
      <c r="O104" s="186"/>
      <c r="P104" s="186"/>
    </row>
    <row r="105" spans="1:16">
      <c r="A105" s="185"/>
      <c r="B105" s="186"/>
      <c r="C105" s="186"/>
      <c r="D105" s="186"/>
      <c r="E105" s="186"/>
      <c r="F105" s="186"/>
      <c r="G105" s="186"/>
      <c r="H105" s="186"/>
      <c r="I105" s="186"/>
      <c r="J105" s="185"/>
      <c r="K105" s="185"/>
      <c r="L105" s="185"/>
      <c r="M105" s="186"/>
      <c r="N105" s="186"/>
      <c r="O105" s="186"/>
      <c r="P105" s="186"/>
    </row>
    <row r="106" spans="1:16">
      <c r="A106" s="185"/>
      <c r="B106" s="186"/>
      <c r="C106" s="186"/>
      <c r="D106" s="186"/>
      <c r="E106" s="186"/>
      <c r="F106" s="186"/>
      <c r="G106" s="186"/>
      <c r="H106" s="186"/>
      <c r="I106" s="186"/>
      <c r="J106" s="185"/>
      <c r="K106" s="185"/>
      <c r="L106" s="185"/>
      <c r="M106" s="186"/>
      <c r="N106" s="186"/>
      <c r="O106" s="186"/>
      <c r="P106" s="186"/>
    </row>
    <row r="107" spans="1:16">
      <c r="A107" s="185"/>
      <c r="B107" s="186"/>
      <c r="C107" s="186"/>
      <c r="D107" s="186"/>
      <c r="E107" s="186"/>
      <c r="F107" s="186"/>
      <c r="G107" s="186"/>
      <c r="H107" s="186"/>
      <c r="I107" s="186"/>
      <c r="J107" s="185"/>
      <c r="K107" s="185"/>
      <c r="L107" s="185"/>
      <c r="M107" s="186"/>
      <c r="N107" s="186"/>
      <c r="O107" s="186"/>
      <c r="P107" s="186"/>
    </row>
    <row r="108" spans="1:16">
      <c r="A108" s="185"/>
      <c r="B108" s="186"/>
      <c r="C108" s="186"/>
      <c r="D108" s="186"/>
      <c r="E108" s="186"/>
      <c r="F108" s="186"/>
      <c r="G108" s="186"/>
      <c r="H108" s="186"/>
      <c r="I108" s="186"/>
      <c r="J108" s="185"/>
      <c r="K108" s="185"/>
      <c r="L108" s="185"/>
      <c r="M108" s="186"/>
      <c r="N108" s="186"/>
      <c r="O108" s="186"/>
      <c r="P108" s="186"/>
    </row>
    <row r="109" spans="1:16">
      <c r="A109" s="185"/>
      <c r="B109" s="186"/>
      <c r="C109" s="186"/>
      <c r="D109" s="186"/>
      <c r="E109" s="186"/>
      <c r="F109" s="186"/>
      <c r="G109" s="186"/>
      <c r="H109" s="186"/>
      <c r="I109" s="186"/>
      <c r="J109" s="185"/>
      <c r="K109" s="185"/>
      <c r="L109" s="185"/>
      <c r="M109" s="186"/>
      <c r="N109" s="186"/>
      <c r="O109" s="186"/>
      <c r="P109" s="186"/>
    </row>
    <row r="110" spans="1:16">
      <c r="A110" s="185"/>
      <c r="B110" s="186"/>
      <c r="C110" s="186"/>
      <c r="D110" s="186"/>
      <c r="E110" s="186"/>
      <c r="F110" s="186"/>
      <c r="G110" s="186"/>
      <c r="H110" s="186"/>
      <c r="I110" s="186"/>
      <c r="J110" s="185"/>
      <c r="K110" s="185"/>
      <c r="L110" s="185"/>
      <c r="M110" s="186"/>
      <c r="N110" s="186"/>
      <c r="O110" s="186"/>
      <c r="P110" s="186"/>
    </row>
    <row r="111" spans="1:16">
      <c r="A111" s="185"/>
      <c r="B111" s="186"/>
      <c r="C111" s="186"/>
      <c r="D111" s="186"/>
      <c r="E111" s="186"/>
      <c r="F111" s="186"/>
      <c r="G111" s="186"/>
      <c r="H111" s="186"/>
      <c r="I111" s="186"/>
      <c r="J111" s="185"/>
      <c r="K111" s="185"/>
      <c r="L111" s="185"/>
      <c r="M111" s="186"/>
      <c r="N111" s="186"/>
      <c r="O111" s="186"/>
      <c r="P111" s="186"/>
    </row>
    <row r="112" spans="1:16">
      <c r="A112" s="185"/>
      <c r="B112" s="186"/>
      <c r="C112" s="186"/>
      <c r="D112" s="186"/>
      <c r="E112" s="186"/>
      <c r="F112" s="186"/>
      <c r="G112" s="186"/>
      <c r="H112" s="186"/>
      <c r="I112" s="186"/>
      <c r="J112" s="185"/>
      <c r="K112" s="185"/>
      <c r="L112" s="185"/>
      <c r="M112" s="186"/>
      <c r="N112" s="186"/>
      <c r="O112" s="186"/>
      <c r="P112" s="18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00"/>
  <sheetViews>
    <sheetView topLeftCell="K1" workbookViewId="0">
      <selection activeCell="U7" sqref="U7"/>
    </sheetView>
  </sheetViews>
  <sheetFormatPr baseColWidth="10" defaultRowHeight="16"/>
  <cols>
    <col min="1" max="1" width="10.83203125" style="152"/>
    <col min="2" max="2" width="15.6640625" style="150" customWidth="1"/>
    <col min="3" max="3" width="7.1640625" style="150" customWidth="1"/>
    <col min="4" max="4" width="8" style="150" customWidth="1"/>
    <col min="5" max="6" width="12" style="150" bestFit="1" customWidth="1"/>
    <col min="7" max="9" width="11.5" style="150" customWidth="1"/>
    <col min="10" max="10" width="11.5" style="152" customWidth="1"/>
    <col min="11" max="12" width="14.33203125" style="152" customWidth="1"/>
    <col min="13" max="13" width="13.1640625" style="150" bestFit="1" customWidth="1"/>
    <col min="14" max="14" width="12.1640625" style="150" bestFit="1" customWidth="1"/>
    <col min="15" max="15" width="10.5" style="150" bestFit="1" customWidth="1"/>
    <col min="16" max="16" width="9.5" style="150" bestFit="1" customWidth="1"/>
  </cols>
  <sheetData>
    <row r="1" spans="1:19">
      <c r="A1" s="152" t="s">
        <v>170</v>
      </c>
      <c r="B1" s="150" t="s">
        <v>112</v>
      </c>
      <c r="C1" s="150" t="s">
        <v>113</v>
      </c>
      <c r="D1" s="150" t="s">
        <v>114</v>
      </c>
      <c r="E1" s="150" t="s">
        <v>225</v>
      </c>
      <c r="F1" s="150" t="s">
        <v>232</v>
      </c>
      <c r="G1" s="150" t="s">
        <v>226</v>
      </c>
      <c r="H1" s="150" t="s">
        <v>236</v>
      </c>
      <c r="I1" s="150" t="s">
        <v>170</v>
      </c>
      <c r="J1" s="150" t="s">
        <v>237</v>
      </c>
      <c r="K1" s="150" t="s">
        <v>238</v>
      </c>
      <c r="L1" s="150" t="s">
        <v>286</v>
      </c>
      <c r="M1" s="150" t="s">
        <v>122</v>
      </c>
      <c r="N1" s="150" t="s">
        <v>123</v>
      </c>
      <c r="O1" s="150" t="s">
        <v>124</v>
      </c>
      <c r="P1" s="150" t="s">
        <v>125</v>
      </c>
    </row>
    <row r="2" spans="1:19">
      <c r="A2" s="152">
        <v>1</v>
      </c>
      <c r="B2" s="150" t="s">
        <v>119</v>
      </c>
      <c r="C2" s="150">
        <v>3</v>
      </c>
      <c r="D2" s="150">
        <v>3</v>
      </c>
      <c r="E2" s="150" t="s">
        <v>233</v>
      </c>
      <c r="F2" s="150" t="s">
        <v>229</v>
      </c>
      <c r="G2" s="150">
        <v>42</v>
      </c>
      <c r="H2" s="150" t="s">
        <v>234</v>
      </c>
      <c r="I2" s="150" t="s">
        <v>136</v>
      </c>
      <c r="J2" s="150" t="s">
        <v>132</v>
      </c>
      <c r="K2" s="150" t="s">
        <v>132</v>
      </c>
      <c r="L2" s="150" t="s">
        <v>132</v>
      </c>
      <c r="M2" s="150" t="s">
        <v>132</v>
      </c>
      <c r="N2" s="150" t="s">
        <v>132</v>
      </c>
      <c r="O2" s="150" t="s">
        <v>132</v>
      </c>
      <c r="P2" s="150" t="s">
        <v>132</v>
      </c>
    </row>
    <row r="3" spans="1:19">
      <c r="A3" s="152">
        <v>2</v>
      </c>
      <c r="B3" s="150" t="s">
        <v>119</v>
      </c>
      <c r="C3" s="150">
        <v>3</v>
      </c>
      <c r="D3" s="150">
        <v>3</v>
      </c>
      <c r="E3" s="150" t="s">
        <v>233</v>
      </c>
      <c r="F3" s="150" t="s">
        <v>229</v>
      </c>
      <c r="G3" s="150">
        <v>42</v>
      </c>
      <c r="H3" s="150" t="s">
        <v>234</v>
      </c>
      <c r="I3" s="150" t="s">
        <v>136</v>
      </c>
      <c r="J3" s="150" t="s">
        <v>132</v>
      </c>
      <c r="K3" s="150" t="s">
        <v>132</v>
      </c>
      <c r="L3" s="150" t="s">
        <v>132</v>
      </c>
      <c r="M3" s="150" t="s">
        <v>132</v>
      </c>
      <c r="N3" s="150" t="s">
        <v>132</v>
      </c>
      <c r="O3" s="150" t="s">
        <v>132</v>
      </c>
      <c r="P3" s="150" t="s">
        <v>132</v>
      </c>
      <c r="R3" s="150" t="s">
        <v>38</v>
      </c>
      <c r="S3" s="150" t="s">
        <v>35</v>
      </c>
    </row>
    <row r="4" spans="1:19">
      <c r="A4" s="152">
        <v>3</v>
      </c>
      <c r="B4" s="150" t="s">
        <v>120</v>
      </c>
      <c r="C4" s="150">
        <v>5</v>
      </c>
      <c r="D4" s="150">
        <v>5</v>
      </c>
      <c r="E4" s="150" t="s">
        <v>231</v>
      </c>
      <c r="F4" s="150" t="s">
        <v>231</v>
      </c>
      <c r="G4" s="150">
        <v>63</v>
      </c>
      <c r="H4" s="150" t="s">
        <v>234</v>
      </c>
      <c r="I4" s="150" t="s">
        <v>136</v>
      </c>
      <c r="J4" s="150" t="s">
        <v>239</v>
      </c>
      <c r="K4" s="150" t="s">
        <v>239</v>
      </c>
      <c r="L4" s="150" t="s">
        <v>284</v>
      </c>
      <c r="M4" s="153">
        <v>2.12974</v>
      </c>
      <c r="N4" s="153">
        <v>1.85714</v>
      </c>
      <c r="O4" s="154">
        <v>0.2938013946017185</v>
      </c>
      <c r="P4" s="154">
        <v>0.23077860531301089</v>
      </c>
      <c r="Q4" t="s">
        <v>371</v>
      </c>
      <c r="R4" s="218">
        <f>AVERAGE(M2:M100)</f>
        <v>35.534607291726182</v>
      </c>
      <c r="S4" s="218">
        <f>AVERAGE(N2:N100)</f>
        <v>45.019872202380959</v>
      </c>
    </row>
    <row r="5" spans="1:19">
      <c r="A5" s="152">
        <v>4</v>
      </c>
      <c r="B5" s="150" t="s">
        <v>120</v>
      </c>
      <c r="C5" s="150">
        <v>5</v>
      </c>
      <c r="D5" s="150">
        <v>5</v>
      </c>
      <c r="E5" s="150" t="s">
        <v>231</v>
      </c>
      <c r="F5" s="150" t="s">
        <v>231</v>
      </c>
      <c r="G5" s="150">
        <v>63</v>
      </c>
      <c r="H5" s="150" t="s">
        <v>234</v>
      </c>
      <c r="I5" s="150" t="s">
        <v>136</v>
      </c>
      <c r="J5" s="150" t="s">
        <v>239</v>
      </c>
      <c r="K5" s="150" t="s">
        <v>239</v>
      </c>
      <c r="L5" s="150" t="s">
        <v>284</v>
      </c>
      <c r="M5" s="153">
        <v>1.2023200000000001</v>
      </c>
      <c r="N5" s="153">
        <v>1.84674</v>
      </c>
      <c r="O5" s="154">
        <v>0.36652018199699532</v>
      </c>
      <c r="P5" s="154">
        <v>0.23669659155989914</v>
      </c>
      <c r="Q5" t="s">
        <v>372</v>
      </c>
      <c r="R5" s="218">
        <v>6.7479262496794208</v>
      </c>
      <c r="S5" s="218">
        <v>9.3134690706349268</v>
      </c>
    </row>
    <row r="6" spans="1:19">
      <c r="A6" s="152">
        <v>5</v>
      </c>
      <c r="B6" s="150" t="s">
        <v>120</v>
      </c>
      <c r="C6" s="150">
        <v>5</v>
      </c>
      <c r="D6" s="150">
        <v>5</v>
      </c>
      <c r="E6" s="150" t="s">
        <v>231</v>
      </c>
      <c r="F6" s="150" t="s">
        <v>231</v>
      </c>
      <c r="G6" s="150">
        <v>63</v>
      </c>
      <c r="H6" s="150" t="s">
        <v>234</v>
      </c>
      <c r="I6" s="150" t="s">
        <v>136</v>
      </c>
      <c r="J6" s="150" t="s">
        <v>239</v>
      </c>
      <c r="K6" s="150" t="s">
        <v>239</v>
      </c>
      <c r="L6" s="150" t="s">
        <v>284</v>
      </c>
      <c r="M6" s="153">
        <v>1.4351400000000001</v>
      </c>
      <c r="N6" s="153">
        <v>1.6658599999999999</v>
      </c>
      <c r="O6" s="154">
        <v>0.21694372841699094</v>
      </c>
      <c r="P6" s="154">
        <v>0.3001175709237881</v>
      </c>
    </row>
    <row r="7" spans="1:19">
      <c r="A7" s="152">
        <v>6</v>
      </c>
      <c r="B7" s="150" t="s">
        <v>120</v>
      </c>
      <c r="C7" s="150">
        <v>5</v>
      </c>
      <c r="D7" s="150">
        <v>5</v>
      </c>
      <c r="E7" s="150" t="s">
        <v>231</v>
      </c>
      <c r="F7" s="150" t="s">
        <v>231</v>
      </c>
      <c r="G7" s="150">
        <v>63</v>
      </c>
      <c r="H7" s="150" t="s">
        <v>234</v>
      </c>
      <c r="I7" s="150" t="s">
        <v>136</v>
      </c>
      <c r="J7" s="150" t="s">
        <v>239</v>
      </c>
      <c r="K7" s="150" t="s">
        <v>239</v>
      </c>
      <c r="L7" s="150" t="s">
        <v>284</v>
      </c>
      <c r="M7" s="155">
        <v>14.994080000000002</v>
      </c>
      <c r="N7" s="155">
        <v>14.088640000000002</v>
      </c>
      <c r="O7" s="155">
        <v>1.5684030211375664</v>
      </c>
      <c r="P7" s="155">
        <v>1.7724073636081783</v>
      </c>
      <c r="R7" s="217">
        <f>R5/R4</f>
        <v>0.18989730755377157</v>
      </c>
      <c r="S7" s="217">
        <f>S5/S4</f>
        <v>0.2068746225837213</v>
      </c>
    </row>
    <row r="8" spans="1:19">
      <c r="A8" s="152">
        <v>7</v>
      </c>
      <c r="B8" s="150" t="s">
        <v>120</v>
      </c>
      <c r="C8" s="150">
        <v>5</v>
      </c>
      <c r="D8" s="150">
        <v>5</v>
      </c>
      <c r="E8" s="150" t="s">
        <v>231</v>
      </c>
      <c r="F8" s="150" t="s">
        <v>231</v>
      </c>
      <c r="G8" s="150">
        <v>63</v>
      </c>
      <c r="H8" s="150" t="s">
        <v>234</v>
      </c>
      <c r="I8" s="150" t="s">
        <v>136</v>
      </c>
      <c r="J8" s="150" t="s">
        <v>239</v>
      </c>
      <c r="K8" s="150" t="s">
        <v>239</v>
      </c>
      <c r="L8" s="150" t="s">
        <v>284</v>
      </c>
      <c r="M8" s="155">
        <v>14.925419999999999</v>
      </c>
      <c r="N8" s="155">
        <v>12.771840000000001</v>
      </c>
      <c r="O8" s="155">
        <v>1.1881194720255885</v>
      </c>
      <c r="P8" s="155">
        <v>1.4509948320885524</v>
      </c>
    </row>
    <row r="9" spans="1:19">
      <c r="A9" s="152">
        <v>8</v>
      </c>
      <c r="B9" s="150" t="s">
        <v>120</v>
      </c>
      <c r="C9" s="150">
        <v>5</v>
      </c>
      <c r="D9" s="150">
        <v>5</v>
      </c>
      <c r="E9" s="150" t="s">
        <v>231</v>
      </c>
      <c r="F9" s="150" t="s">
        <v>231</v>
      </c>
      <c r="G9" s="150">
        <v>63</v>
      </c>
      <c r="H9" s="150" t="s">
        <v>234</v>
      </c>
      <c r="I9" s="150" t="s">
        <v>136</v>
      </c>
      <c r="J9" s="150" t="s">
        <v>239</v>
      </c>
      <c r="K9" s="150" t="s">
        <v>239</v>
      </c>
      <c r="L9" s="150" t="s">
        <v>284</v>
      </c>
      <c r="M9" s="155">
        <v>13.237459999999999</v>
      </c>
      <c r="N9" s="155">
        <v>13.434559999999999</v>
      </c>
      <c r="O9" s="155">
        <v>0.74690904215447385</v>
      </c>
      <c r="P9" s="155">
        <v>0.7749871831117553</v>
      </c>
    </row>
    <row r="10" spans="1:19">
      <c r="A10" s="152">
        <v>9</v>
      </c>
      <c r="B10" s="150" t="s">
        <v>130</v>
      </c>
      <c r="C10" s="150">
        <v>6</v>
      </c>
      <c r="D10" s="150">
        <v>6</v>
      </c>
      <c r="E10" s="150" t="s">
        <v>231</v>
      </c>
      <c r="F10" s="150" t="s">
        <v>231</v>
      </c>
      <c r="G10" s="150">
        <v>63</v>
      </c>
      <c r="H10" s="150" t="s">
        <v>234</v>
      </c>
      <c r="I10" s="150" t="s">
        <v>136</v>
      </c>
      <c r="J10" s="150" t="s">
        <v>239</v>
      </c>
      <c r="K10" s="150" t="s">
        <v>239</v>
      </c>
      <c r="L10" s="150" t="s">
        <v>283</v>
      </c>
      <c r="M10" s="155">
        <v>0.12325</v>
      </c>
      <c r="N10" s="155">
        <v>0.26750000000000002</v>
      </c>
      <c r="O10" s="155">
        <v>0.1063216024909801</v>
      </c>
      <c r="P10" s="155">
        <v>0.12259428871281089</v>
      </c>
    </row>
    <row r="11" spans="1:19">
      <c r="A11" s="152">
        <v>10</v>
      </c>
      <c r="B11" s="150" t="s">
        <v>130</v>
      </c>
      <c r="C11" s="150">
        <v>6</v>
      </c>
      <c r="D11" s="150">
        <v>6</v>
      </c>
      <c r="E11" s="150" t="s">
        <v>231</v>
      </c>
      <c r="F11" s="150" t="s">
        <v>231</v>
      </c>
      <c r="G11" s="150">
        <v>63</v>
      </c>
      <c r="H11" s="150" t="s">
        <v>234</v>
      </c>
      <c r="I11" s="150" t="s">
        <v>136</v>
      </c>
      <c r="J11" s="150" t="s">
        <v>239</v>
      </c>
      <c r="K11" s="150" t="s">
        <v>239</v>
      </c>
      <c r="L11" s="150" t="s">
        <v>283</v>
      </c>
      <c r="M11" s="155">
        <v>0.97166666999999995</v>
      </c>
      <c r="N11" s="155">
        <v>1.3616667</v>
      </c>
      <c r="O11" s="155">
        <v>0.3574771185373658</v>
      </c>
      <c r="P11" s="155">
        <v>0.55877250016840008</v>
      </c>
    </row>
    <row r="12" spans="1:19">
      <c r="A12" s="152">
        <v>11</v>
      </c>
      <c r="B12" s="150" t="s">
        <v>130</v>
      </c>
      <c r="C12" s="150">
        <v>6</v>
      </c>
      <c r="D12" s="150">
        <v>6</v>
      </c>
      <c r="E12" s="150" t="s">
        <v>231</v>
      </c>
      <c r="F12" s="150" t="s">
        <v>231</v>
      </c>
      <c r="G12" s="150">
        <v>63</v>
      </c>
      <c r="H12" s="150" t="s">
        <v>234</v>
      </c>
      <c r="I12" s="150" t="s">
        <v>136</v>
      </c>
      <c r="J12" s="150" t="s">
        <v>239</v>
      </c>
      <c r="K12" s="150" t="s">
        <v>239</v>
      </c>
      <c r="L12" s="150" t="s">
        <v>283</v>
      </c>
      <c r="M12" s="155">
        <v>4.5549999999999997</v>
      </c>
      <c r="N12" s="155">
        <v>4.0199999999999996</v>
      </c>
      <c r="O12" s="155">
        <v>1.4228257667402582</v>
      </c>
      <c r="P12" s="155">
        <v>1.1410619103858191</v>
      </c>
    </row>
    <row r="13" spans="1:19">
      <c r="A13" s="152">
        <v>12</v>
      </c>
      <c r="B13" s="150" t="s">
        <v>130</v>
      </c>
      <c r="C13" s="150">
        <v>6</v>
      </c>
      <c r="D13" s="150">
        <v>6</v>
      </c>
      <c r="E13" s="150" t="s">
        <v>231</v>
      </c>
      <c r="F13" s="150" t="s">
        <v>231</v>
      </c>
      <c r="G13" s="150">
        <v>63</v>
      </c>
      <c r="H13" s="150" t="s">
        <v>234</v>
      </c>
      <c r="I13" s="150" t="s">
        <v>136</v>
      </c>
      <c r="J13" s="150" t="s">
        <v>239</v>
      </c>
      <c r="K13" s="150" t="s">
        <v>240</v>
      </c>
      <c r="L13" s="150" t="s">
        <v>284</v>
      </c>
      <c r="M13" s="155">
        <v>1.7350000000000001</v>
      </c>
      <c r="N13" s="155">
        <v>2.3383332999999999</v>
      </c>
      <c r="O13" s="155">
        <v>0.57481093630862512</v>
      </c>
      <c r="P13" s="155">
        <v>0.59329863779644154</v>
      </c>
    </row>
    <row r="14" spans="1:19">
      <c r="A14" s="152">
        <v>13</v>
      </c>
      <c r="B14" s="150" t="s">
        <v>131</v>
      </c>
      <c r="C14" s="150">
        <v>3</v>
      </c>
      <c r="D14" s="150">
        <v>3</v>
      </c>
      <c r="E14" s="150" t="s">
        <v>233</v>
      </c>
      <c r="F14" s="150" t="s">
        <v>228</v>
      </c>
      <c r="G14" s="150">
        <v>58</v>
      </c>
      <c r="H14" s="150" t="s">
        <v>234</v>
      </c>
      <c r="I14" s="150" t="s">
        <v>136</v>
      </c>
      <c r="J14" s="150" t="s">
        <v>132</v>
      </c>
      <c r="K14" s="150" t="s">
        <v>132</v>
      </c>
      <c r="L14" s="150" t="s">
        <v>284</v>
      </c>
      <c r="M14" s="150" t="s">
        <v>132</v>
      </c>
      <c r="N14" s="150" t="s">
        <v>132</v>
      </c>
      <c r="O14" s="150" t="s">
        <v>132</v>
      </c>
      <c r="P14" s="150" t="s">
        <v>132</v>
      </c>
    </row>
    <row r="15" spans="1:19">
      <c r="A15" s="152">
        <v>14</v>
      </c>
      <c r="B15" s="150" t="s">
        <v>131</v>
      </c>
      <c r="C15" s="150">
        <v>3</v>
      </c>
      <c r="D15" s="150">
        <v>3</v>
      </c>
      <c r="E15" s="150" t="s">
        <v>233</v>
      </c>
      <c r="F15" s="150" t="s">
        <v>229</v>
      </c>
      <c r="G15" s="150">
        <v>58</v>
      </c>
      <c r="H15" s="150" t="s">
        <v>234</v>
      </c>
      <c r="I15" s="150" t="s">
        <v>136</v>
      </c>
      <c r="J15" s="150" t="s">
        <v>132</v>
      </c>
      <c r="K15" s="150" t="s">
        <v>132</v>
      </c>
      <c r="L15" s="150" t="s">
        <v>284</v>
      </c>
      <c r="M15" s="150" t="s">
        <v>132</v>
      </c>
      <c r="N15" s="150" t="s">
        <v>132</v>
      </c>
      <c r="O15" s="150" t="s">
        <v>132</v>
      </c>
      <c r="P15" s="150" t="s">
        <v>132</v>
      </c>
    </row>
    <row r="16" spans="1:19">
      <c r="A16" s="152">
        <v>15</v>
      </c>
      <c r="B16" s="150" t="s">
        <v>131</v>
      </c>
      <c r="C16" s="150">
        <v>3</v>
      </c>
      <c r="D16" s="150">
        <v>3</v>
      </c>
      <c r="E16" s="150" t="s">
        <v>233</v>
      </c>
      <c r="F16" s="150" t="s">
        <v>229</v>
      </c>
      <c r="G16" s="150">
        <v>58</v>
      </c>
      <c r="H16" s="150" t="s">
        <v>234</v>
      </c>
      <c r="I16" s="150" t="s">
        <v>136</v>
      </c>
      <c r="J16" s="150" t="s">
        <v>132</v>
      </c>
      <c r="K16" s="150" t="s">
        <v>132</v>
      </c>
      <c r="L16" s="150" t="s">
        <v>284</v>
      </c>
      <c r="M16" s="150" t="s">
        <v>132</v>
      </c>
      <c r="N16" s="150" t="s">
        <v>132</v>
      </c>
      <c r="O16" s="150" t="s">
        <v>132</v>
      </c>
      <c r="P16" s="150" t="s">
        <v>132</v>
      </c>
    </row>
    <row r="17" spans="1:16">
      <c r="A17" s="152">
        <v>16</v>
      </c>
      <c r="B17" s="150" t="s">
        <v>131</v>
      </c>
      <c r="C17" s="150">
        <v>3</v>
      </c>
      <c r="D17" s="150">
        <v>3</v>
      </c>
      <c r="E17" s="150" t="s">
        <v>233</v>
      </c>
      <c r="F17" s="150" t="s">
        <v>229</v>
      </c>
      <c r="G17" s="150">
        <v>58</v>
      </c>
      <c r="H17" s="150" t="s">
        <v>234</v>
      </c>
      <c r="I17" s="150" t="s">
        <v>136</v>
      </c>
      <c r="J17" s="150" t="s">
        <v>132</v>
      </c>
      <c r="K17" s="150" t="s">
        <v>132</v>
      </c>
      <c r="L17" s="150" t="s">
        <v>283</v>
      </c>
      <c r="M17" s="150" t="s">
        <v>132</v>
      </c>
      <c r="N17" s="150" t="s">
        <v>132</v>
      </c>
      <c r="O17" s="150" t="s">
        <v>132</v>
      </c>
      <c r="P17" s="150" t="s">
        <v>132</v>
      </c>
    </row>
    <row r="18" spans="1:16">
      <c r="A18" s="152">
        <v>17</v>
      </c>
      <c r="B18" s="150" t="s">
        <v>131</v>
      </c>
      <c r="C18" s="150">
        <v>3</v>
      </c>
      <c r="D18" s="150">
        <v>3</v>
      </c>
      <c r="E18" s="150" t="s">
        <v>233</v>
      </c>
      <c r="F18" s="150" t="s">
        <v>229</v>
      </c>
      <c r="G18" s="150">
        <v>58</v>
      </c>
      <c r="H18" s="150" t="s">
        <v>234</v>
      </c>
      <c r="I18" s="150" t="s">
        <v>136</v>
      </c>
      <c r="J18" s="150" t="s">
        <v>132</v>
      </c>
      <c r="K18" s="150" t="s">
        <v>132</v>
      </c>
      <c r="L18" s="150" t="s">
        <v>283</v>
      </c>
      <c r="M18" s="150" t="s">
        <v>132</v>
      </c>
      <c r="N18" s="150" t="s">
        <v>132</v>
      </c>
      <c r="O18" s="150" t="s">
        <v>132</v>
      </c>
      <c r="P18" s="150" t="s">
        <v>132</v>
      </c>
    </row>
    <row r="19" spans="1:16">
      <c r="A19" s="152">
        <v>18</v>
      </c>
      <c r="B19" s="150" t="s">
        <v>131</v>
      </c>
      <c r="C19" s="150">
        <v>3</v>
      </c>
      <c r="D19" s="150">
        <v>3</v>
      </c>
      <c r="E19" s="150" t="s">
        <v>233</v>
      </c>
      <c r="F19" s="150" t="s">
        <v>230</v>
      </c>
      <c r="G19" s="150">
        <v>58</v>
      </c>
      <c r="H19" s="150" t="s">
        <v>234</v>
      </c>
      <c r="I19" s="150" t="s">
        <v>136</v>
      </c>
      <c r="J19" s="150" t="s">
        <v>132</v>
      </c>
      <c r="K19" s="150" t="s">
        <v>132</v>
      </c>
      <c r="L19" s="150" t="s">
        <v>284</v>
      </c>
      <c r="M19" s="150" t="s">
        <v>132</v>
      </c>
      <c r="N19" s="150" t="s">
        <v>132</v>
      </c>
      <c r="O19" s="150" t="s">
        <v>132</v>
      </c>
      <c r="P19" s="150" t="s">
        <v>132</v>
      </c>
    </row>
    <row r="20" spans="1:16">
      <c r="A20" s="152">
        <v>19</v>
      </c>
      <c r="B20" s="150" t="s">
        <v>153</v>
      </c>
      <c r="C20" s="150">
        <v>4</v>
      </c>
      <c r="D20" s="150">
        <v>4</v>
      </c>
      <c r="E20" s="150" t="s">
        <v>233</v>
      </c>
      <c r="F20" s="150" t="s">
        <v>229</v>
      </c>
      <c r="G20" s="150">
        <v>63</v>
      </c>
      <c r="H20" s="150" t="s">
        <v>234</v>
      </c>
      <c r="I20" s="150" t="s">
        <v>136</v>
      </c>
      <c r="J20" s="150" t="s">
        <v>240</v>
      </c>
      <c r="K20" s="150" t="s">
        <v>132</v>
      </c>
      <c r="L20" s="150" t="s">
        <v>284</v>
      </c>
      <c r="M20" s="150" t="s">
        <v>132</v>
      </c>
      <c r="N20" s="150" t="s">
        <v>132</v>
      </c>
      <c r="O20" s="150" t="s">
        <v>132</v>
      </c>
      <c r="P20" s="150" t="s">
        <v>132</v>
      </c>
    </row>
    <row r="21" spans="1:16">
      <c r="A21" s="152">
        <v>20</v>
      </c>
      <c r="B21" s="150" t="s">
        <v>133</v>
      </c>
      <c r="C21" s="150">
        <v>8</v>
      </c>
      <c r="D21" s="150">
        <v>8</v>
      </c>
      <c r="E21" s="150" t="s">
        <v>231</v>
      </c>
      <c r="F21" s="150" t="s">
        <v>231</v>
      </c>
      <c r="G21" s="150">
        <v>63</v>
      </c>
      <c r="H21" s="150" t="s">
        <v>234</v>
      </c>
      <c r="I21" s="150" t="s">
        <v>137</v>
      </c>
      <c r="J21" s="150" t="s">
        <v>240</v>
      </c>
      <c r="K21" s="151" t="s">
        <v>241</v>
      </c>
      <c r="L21" s="150" t="s">
        <v>284</v>
      </c>
      <c r="M21" s="150">
        <v>197</v>
      </c>
      <c r="N21" s="150">
        <v>189</v>
      </c>
      <c r="O21" s="150">
        <v>20</v>
      </c>
      <c r="P21" s="150">
        <v>24</v>
      </c>
    </row>
    <row r="22" spans="1:16">
      <c r="A22" s="152">
        <v>21</v>
      </c>
      <c r="B22" s="150" t="s">
        <v>133</v>
      </c>
      <c r="C22" s="150">
        <v>8</v>
      </c>
      <c r="D22" s="150">
        <v>8</v>
      </c>
      <c r="E22" s="150" t="s">
        <v>231</v>
      </c>
      <c r="F22" s="150" t="s">
        <v>231</v>
      </c>
      <c r="G22" s="150">
        <v>63</v>
      </c>
      <c r="H22" s="150" t="s">
        <v>234</v>
      </c>
      <c r="I22" s="150" t="s">
        <v>137</v>
      </c>
      <c r="J22" s="150" t="s">
        <v>239</v>
      </c>
      <c r="K22" s="151" t="s">
        <v>241</v>
      </c>
      <c r="L22" s="150" t="s">
        <v>284</v>
      </c>
      <c r="M22" s="150">
        <v>159</v>
      </c>
      <c r="N22" s="150">
        <v>215</v>
      </c>
      <c r="O22" s="150">
        <v>16</v>
      </c>
      <c r="P22" s="150">
        <v>22</v>
      </c>
    </row>
    <row r="23" spans="1:16">
      <c r="A23" s="152">
        <v>22</v>
      </c>
      <c r="B23" s="150" t="s">
        <v>133</v>
      </c>
      <c r="C23" s="150">
        <v>8</v>
      </c>
      <c r="D23" s="150">
        <v>8</v>
      </c>
      <c r="E23" s="150" t="s">
        <v>231</v>
      </c>
      <c r="F23" s="150" t="s">
        <v>231</v>
      </c>
      <c r="G23" s="150">
        <v>63</v>
      </c>
      <c r="H23" s="150" t="s">
        <v>234</v>
      </c>
      <c r="I23" s="150" t="s">
        <v>137</v>
      </c>
      <c r="J23" s="150" t="s">
        <v>240</v>
      </c>
      <c r="K23" s="151" t="s">
        <v>241</v>
      </c>
      <c r="L23" s="150" t="s">
        <v>284</v>
      </c>
      <c r="M23" s="150">
        <v>178</v>
      </c>
      <c r="N23" s="150">
        <v>197</v>
      </c>
      <c r="O23" s="150">
        <v>20</v>
      </c>
      <c r="P23" s="150">
        <v>22</v>
      </c>
    </row>
    <row r="24" spans="1:16">
      <c r="A24" s="152">
        <v>23</v>
      </c>
      <c r="B24" s="150" t="s">
        <v>133</v>
      </c>
      <c r="C24" s="150">
        <v>8</v>
      </c>
      <c r="D24" s="150">
        <v>8</v>
      </c>
      <c r="E24" s="150" t="s">
        <v>231</v>
      </c>
      <c r="F24" s="150" t="s">
        <v>231</v>
      </c>
      <c r="G24" s="150">
        <v>63</v>
      </c>
      <c r="H24" s="150" t="s">
        <v>234</v>
      </c>
      <c r="I24" s="150" t="s">
        <v>137</v>
      </c>
      <c r="J24" s="150" t="s">
        <v>239</v>
      </c>
      <c r="K24" s="151" t="s">
        <v>241</v>
      </c>
      <c r="L24" s="150" t="s">
        <v>284</v>
      </c>
      <c r="M24" s="150">
        <v>180</v>
      </c>
      <c r="N24" s="150">
        <v>183</v>
      </c>
      <c r="O24" s="150">
        <v>22</v>
      </c>
      <c r="P24" s="150">
        <v>28</v>
      </c>
    </row>
    <row r="25" spans="1:16">
      <c r="A25" s="152">
        <v>24</v>
      </c>
      <c r="B25" s="150" t="s">
        <v>134</v>
      </c>
      <c r="C25" s="150">
        <v>4</v>
      </c>
      <c r="D25" s="150">
        <v>4</v>
      </c>
      <c r="E25" s="150" t="s">
        <v>231</v>
      </c>
      <c r="F25" s="150" t="s">
        <v>231</v>
      </c>
      <c r="G25" s="150">
        <v>72</v>
      </c>
      <c r="H25" s="150" t="s">
        <v>235</v>
      </c>
      <c r="I25" s="150" t="s">
        <v>136</v>
      </c>
      <c r="J25" s="150" t="s">
        <v>240</v>
      </c>
      <c r="K25" s="151" t="s">
        <v>241</v>
      </c>
      <c r="L25" s="150" t="s">
        <v>284</v>
      </c>
      <c r="M25" s="158">
        <v>1.578325</v>
      </c>
      <c r="N25" s="158">
        <v>9.7200000000000006</v>
      </c>
      <c r="O25" s="158">
        <v>0.32015495597184401</v>
      </c>
      <c r="P25" s="158">
        <v>0.97200000000000009</v>
      </c>
    </row>
    <row r="26" spans="1:16">
      <c r="A26" s="152">
        <v>25</v>
      </c>
      <c r="B26" s="150" t="s">
        <v>135</v>
      </c>
      <c r="C26" s="150">
        <v>6</v>
      </c>
      <c r="D26" s="150">
        <v>6</v>
      </c>
      <c r="E26" s="150" t="s">
        <v>231</v>
      </c>
      <c r="F26" s="150" t="s">
        <v>231</v>
      </c>
      <c r="G26" s="150">
        <v>79</v>
      </c>
      <c r="H26" s="150" t="s">
        <v>235</v>
      </c>
      <c r="I26" s="150" t="s">
        <v>136</v>
      </c>
      <c r="J26" s="150" t="s">
        <v>239</v>
      </c>
      <c r="K26" s="150" t="s">
        <v>240</v>
      </c>
      <c r="L26" s="150" t="s">
        <v>284</v>
      </c>
      <c r="M26" s="163">
        <v>4.4443000000000001</v>
      </c>
      <c r="N26" s="163">
        <v>4.5200500000000003</v>
      </c>
      <c r="O26" s="163">
        <v>0.30833655024427858</v>
      </c>
      <c r="P26" s="163">
        <v>0.35723115171986514</v>
      </c>
    </row>
    <row r="27" spans="1:16">
      <c r="A27" s="152">
        <v>26</v>
      </c>
      <c r="B27" s="150" t="s">
        <v>135</v>
      </c>
      <c r="C27" s="150">
        <v>6</v>
      </c>
      <c r="D27" s="150">
        <v>6</v>
      </c>
      <c r="E27" s="150" t="s">
        <v>231</v>
      </c>
      <c r="F27" s="150" t="s">
        <v>231</v>
      </c>
      <c r="G27" s="150">
        <v>79</v>
      </c>
      <c r="H27" s="150" t="s">
        <v>235</v>
      </c>
      <c r="I27" s="150" t="s">
        <v>136</v>
      </c>
      <c r="J27" s="150" t="s">
        <v>239</v>
      </c>
      <c r="K27" s="150" t="s">
        <v>240</v>
      </c>
      <c r="L27" s="150" t="s">
        <v>284</v>
      </c>
      <c r="M27" s="163">
        <v>4.3871666666666664</v>
      </c>
      <c r="N27" s="163">
        <v>4.4412333333333338</v>
      </c>
      <c r="O27" s="163">
        <v>0.49997991582755807</v>
      </c>
      <c r="P27" s="163">
        <v>0.61693203370223137</v>
      </c>
    </row>
    <row r="28" spans="1:16">
      <c r="A28" s="152">
        <v>27</v>
      </c>
      <c r="B28" s="150" t="s">
        <v>138</v>
      </c>
      <c r="C28" s="150">
        <v>4</v>
      </c>
      <c r="D28" s="150">
        <v>4</v>
      </c>
      <c r="E28" s="150" t="s">
        <v>231</v>
      </c>
      <c r="F28" s="150" t="s">
        <v>231</v>
      </c>
      <c r="G28" s="150">
        <v>63</v>
      </c>
      <c r="H28" s="150" t="s">
        <v>235</v>
      </c>
      <c r="I28" s="150" t="s">
        <v>137</v>
      </c>
      <c r="J28" s="150" t="s">
        <v>132</v>
      </c>
      <c r="K28" s="150" t="s">
        <v>239</v>
      </c>
      <c r="L28" s="150" t="s">
        <v>285</v>
      </c>
      <c r="M28" s="166">
        <v>122</v>
      </c>
      <c r="N28" s="166">
        <v>176</v>
      </c>
      <c r="O28" s="158">
        <v>12.2</v>
      </c>
      <c r="P28" s="158">
        <v>17.600000000000001</v>
      </c>
    </row>
    <row r="29" spans="1:16">
      <c r="A29" s="152">
        <v>28</v>
      </c>
      <c r="B29" s="150" t="s">
        <v>138</v>
      </c>
      <c r="C29" s="150">
        <v>4</v>
      </c>
      <c r="D29" s="150">
        <v>4</v>
      </c>
      <c r="E29" s="150" t="s">
        <v>231</v>
      </c>
      <c r="F29" s="150" t="s">
        <v>231</v>
      </c>
      <c r="G29" s="150">
        <v>63</v>
      </c>
      <c r="H29" s="150" t="s">
        <v>235</v>
      </c>
      <c r="I29" s="150" t="s">
        <v>137</v>
      </c>
      <c r="J29" s="150" t="s">
        <v>132</v>
      </c>
      <c r="K29" s="150" t="s">
        <v>239</v>
      </c>
      <c r="L29" s="150" t="s">
        <v>285</v>
      </c>
      <c r="M29" s="166">
        <v>111</v>
      </c>
      <c r="N29" s="166">
        <v>171</v>
      </c>
      <c r="O29" s="158">
        <v>11.1</v>
      </c>
      <c r="P29" s="158">
        <v>17.100000000000001</v>
      </c>
    </row>
    <row r="30" spans="1:16">
      <c r="A30" s="152">
        <v>29</v>
      </c>
      <c r="B30" s="150" t="s">
        <v>139</v>
      </c>
      <c r="C30" s="150">
        <v>3</v>
      </c>
      <c r="D30" s="150">
        <v>3</v>
      </c>
      <c r="E30" s="150" t="s">
        <v>233</v>
      </c>
      <c r="F30" s="150" t="s">
        <v>228</v>
      </c>
      <c r="G30" s="150">
        <v>42</v>
      </c>
      <c r="H30" s="150" t="s">
        <v>234</v>
      </c>
      <c r="I30" s="150" t="s">
        <v>136</v>
      </c>
      <c r="J30" s="150" t="s">
        <v>132</v>
      </c>
      <c r="K30" s="150" t="s">
        <v>132</v>
      </c>
      <c r="L30" s="150" t="s">
        <v>283</v>
      </c>
      <c r="M30" s="158">
        <v>1.8956</v>
      </c>
      <c r="N30" s="158">
        <v>1.8786</v>
      </c>
      <c r="O30" s="158">
        <v>0.12332552000000026</v>
      </c>
      <c r="P30" s="158">
        <v>0.21633928999999963</v>
      </c>
    </row>
    <row r="31" spans="1:16">
      <c r="A31" s="152">
        <v>30</v>
      </c>
      <c r="B31" s="150" t="s">
        <v>139</v>
      </c>
      <c r="C31" s="150">
        <v>3</v>
      </c>
      <c r="D31" s="150">
        <v>3</v>
      </c>
      <c r="E31" s="150" t="s">
        <v>233</v>
      </c>
      <c r="F31" s="150" t="s">
        <v>229</v>
      </c>
      <c r="G31" s="150">
        <v>42</v>
      </c>
      <c r="H31" s="150" t="s">
        <v>234</v>
      </c>
      <c r="I31" s="150" t="s">
        <v>136</v>
      </c>
      <c r="J31" s="150" t="s">
        <v>132</v>
      </c>
      <c r="K31" s="150" t="s">
        <v>132</v>
      </c>
      <c r="L31" s="150" t="s">
        <v>283</v>
      </c>
      <c r="M31" s="158">
        <v>2.7012999999999998</v>
      </c>
      <c r="N31" s="158">
        <v>2.8090999999999999</v>
      </c>
      <c r="O31" s="158">
        <v>0.18516148999999998</v>
      </c>
      <c r="P31" s="158">
        <v>0.21668571000000036</v>
      </c>
    </row>
    <row r="32" spans="1:16">
      <c r="A32" s="152">
        <v>31</v>
      </c>
      <c r="B32" s="150" t="s">
        <v>139</v>
      </c>
      <c r="C32" s="150">
        <v>3</v>
      </c>
      <c r="D32" s="150">
        <v>3</v>
      </c>
      <c r="E32" s="150" t="s">
        <v>233</v>
      </c>
      <c r="F32" s="150" t="s">
        <v>229</v>
      </c>
      <c r="G32" s="150">
        <v>42</v>
      </c>
      <c r="H32" s="150" t="s">
        <v>234</v>
      </c>
      <c r="I32" s="150" t="s">
        <v>136</v>
      </c>
      <c r="J32" s="150" t="s">
        <v>132</v>
      </c>
      <c r="K32" s="150" t="s">
        <v>132</v>
      </c>
      <c r="L32" s="150" t="s">
        <v>283</v>
      </c>
      <c r="M32" s="158">
        <v>2.5181</v>
      </c>
      <c r="N32" s="158">
        <v>2.5013000000000001</v>
      </c>
      <c r="O32" s="158">
        <v>0.18602754000000027</v>
      </c>
      <c r="P32" s="158">
        <v>0.18516148999999998</v>
      </c>
    </row>
    <row r="33" spans="1:16">
      <c r="A33" s="152">
        <v>32</v>
      </c>
      <c r="B33" s="150" t="s">
        <v>140</v>
      </c>
      <c r="C33" s="150">
        <v>5</v>
      </c>
      <c r="D33" s="150">
        <v>5</v>
      </c>
      <c r="E33" s="150" t="s">
        <v>233</v>
      </c>
      <c r="F33" s="150" t="s">
        <v>229</v>
      </c>
      <c r="G33" s="150">
        <v>64</v>
      </c>
      <c r="H33" s="150" t="s">
        <v>234</v>
      </c>
      <c r="I33" s="150" t="s">
        <v>136</v>
      </c>
      <c r="J33" s="150" t="s">
        <v>240</v>
      </c>
      <c r="K33" s="150" t="s">
        <v>132</v>
      </c>
      <c r="L33" s="150" t="s">
        <v>284</v>
      </c>
      <c r="M33" s="150" t="s">
        <v>132</v>
      </c>
      <c r="N33" s="150" t="s">
        <v>132</v>
      </c>
      <c r="O33" s="150" t="s">
        <v>132</v>
      </c>
      <c r="P33" s="150" t="s">
        <v>132</v>
      </c>
    </row>
    <row r="34" spans="1:16">
      <c r="A34" s="152">
        <v>33</v>
      </c>
      <c r="B34" s="150" t="s">
        <v>140</v>
      </c>
      <c r="C34" s="150">
        <v>5</v>
      </c>
      <c r="D34" s="150">
        <v>5</v>
      </c>
      <c r="E34" s="150" t="s">
        <v>233</v>
      </c>
      <c r="F34" s="150" t="s">
        <v>229</v>
      </c>
      <c r="G34" s="150">
        <v>64</v>
      </c>
      <c r="H34" s="150" t="s">
        <v>234</v>
      </c>
      <c r="I34" s="150" t="s">
        <v>136</v>
      </c>
      <c r="J34" s="150" t="s">
        <v>240</v>
      </c>
      <c r="K34" s="150" t="s">
        <v>132</v>
      </c>
      <c r="L34" s="150" t="s">
        <v>284</v>
      </c>
      <c r="M34" s="150" t="s">
        <v>132</v>
      </c>
      <c r="N34" s="150" t="s">
        <v>132</v>
      </c>
      <c r="O34" s="150" t="s">
        <v>132</v>
      </c>
      <c r="P34" s="150" t="s">
        <v>132</v>
      </c>
    </row>
    <row r="35" spans="1:16">
      <c r="A35" s="152">
        <v>34</v>
      </c>
      <c r="B35" s="150" t="s">
        <v>140</v>
      </c>
      <c r="C35" s="150">
        <v>5</v>
      </c>
      <c r="D35" s="150">
        <v>5</v>
      </c>
      <c r="E35" s="150" t="s">
        <v>233</v>
      </c>
      <c r="F35" s="150" t="s">
        <v>230</v>
      </c>
      <c r="G35" s="150">
        <v>64</v>
      </c>
      <c r="H35" s="150" t="s">
        <v>234</v>
      </c>
      <c r="I35" s="150" t="s">
        <v>136</v>
      </c>
      <c r="J35" s="150" t="s">
        <v>240</v>
      </c>
      <c r="K35" s="150" t="s">
        <v>132</v>
      </c>
      <c r="L35" s="150" t="s">
        <v>284</v>
      </c>
      <c r="M35" s="150" t="s">
        <v>132</v>
      </c>
      <c r="N35" s="150" t="s">
        <v>132</v>
      </c>
      <c r="O35" s="150" t="s">
        <v>132</v>
      </c>
      <c r="P35" s="150" t="s">
        <v>132</v>
      </c>
    </row>
    <row r="36" spans="1:16">
      <c r="A36" s="152">
        <v>35</v>
      </c>
      <c r="B36" s="150" t="s">
        <v>140</v>
      </c>
      <c r="C36" s="150">
        <v>5</v>
      </c>
      <c r="D36" s="150">
        <v>5</v>
      </c>
      <c r="E36" s="150" t="s">
        <v>233</v>
      </c>
      <c r="F36" s="150" t="s">
        <v>229</v>
      </c>
      <c r="G36" s="150">
        <v>64</v>
      </c>
      <c r="H36" s="150" t="s">
        <v>234</v>
      </c>
      <c r="I36" s="150" t="s">
        <v>136</v>
      </c>
      <c r="J36" s="150" t="s">
        <v>240</v>
      </c>
      <c r="K36" s="150" t="s">
        <v>132</v>
      </c>
      <c r="L36" s="150" t="s">
        <v>283</v>
      </c>
      <c r="M36" s="150" t="s">
        <v>132</v>
      </c>
      <c r="N36" s="150" t="s">
        <v>132</v>
      </c>
      <c r="O36" s="150" t="s">
        <v>132</v>
      </c>
      <c r="P36" s="150" t="s">
        <v>132</v>
      </c>
    </row>
    <row r="37" spans="1:16">
      <c r="A37" s="152">
        <v>36</v>
      </c>
      <c r="B37" s="150" t="s">
        <v>140</v>
      </c>
      <c r="C37" s="150">
        <v>5</v>
      </c>
      <c r="D37" s="150">
        <v>5</v>
      </c>
      <c r="E37" s="150" t="s">
        <v>233</v>
      </c>
      <c r="F37" s="150" t="s">
        <v>229</v>
      </c>
      <c r="G37" s="150">
        <v>64</v>
      </c>
      <c r="H37" s="150" t="s">
        <v>234</v>
      </c>
      <c r="I37" s="150" t="s">
        <v>136</v>
      </c>
      <c r="J37" s="150" t="s">
        <v>240</v>
      </c>
      <c r="K37" s="150" t="s">
        <v>132</v>
      </c>
      <c r="L37" s="150" t="s">
        <v>283</v>
      </c>
      <c r="M37" s="150" t="s">
        <v>132</v>
      </c>
      <c r="N37" s="150" t="s">
        <v>132</v>
      </c>
      <c r="O37" s="150" t="s">
        <v>132</v>
      </c>
      <c r="P37" s="150" t="s">
        <v>132</v>
      </c>
    </row>
    <row r="38" spans="1:16">
      <c r="A38" s="152">
        <v>37</v>
      </c>
      <c r="B38" s="150" t="s">
        <v>141</v>
      </c>
      <c r="C38" s="150">
        <v>5</v>
      </c>
      <c r="D38" s="150">
        <v>5</v>
      </c>
      <c r="E38" s="150" t="s">
        <v>233</v>
      </c>
      <c r="F38" s="150" t="s">
        <v>229</v>
      </c>
      <c r="G38" s="150">
        <v>21</v>
      </c>
      <c r="H38" s="150" t="s">
        <v>234</v>
      </c>
      <c r="I38" s="150" t="s">
        <v>136</v>
      </c>
      <c r="J38" s="150" t="s">
        <v>132</v>
      </c>
      <c r="K38" s="150" t="s">
        <v>132</v>
      </c>
      <c r="L38" s="150" t="s">
        <v>283</v>
      </c>
      <c r="M38" s="158">
        <v>0.5081</v>
      </c>
      <c r="N38" s="158">
        <v>0.50009999999999999</v>
      </c>
      <c r="O38" s="158">
        <v>0.20593559999999994</v>
      </c>
      <c r="P38" s="158">
        <v>0.13550159999999997</v>
      </c>
    </row>
    <row r="39" spans="1:16">
      <c r="A39" s="152">
        <v>38</v>
      </c>
      <c r="B39" s="150" t="s">
        <v>141</v>
      </c>
      <c r="C39" s="150">
        <v>5</v>
      </c>
      <c r="D39" s="150">
        <v>5</v>
      </c>
      <c r="E39" s="150" t="s">
        <v>233</v>
      </c>
      <c r="F39" s="150" t="s">
        <v>229</v>
      </c>
      <c r="G39" s="150">
        <v>42</v>
      </c>
      <c r="H39" s="150" t="s">
        <v>234</v>
      </c>
      <c r="I39" s="150" t="s">
        <v>136</v>
      </c>
      <c r="J39" s="150" t="s">
        <v>132</v>
      </c>
      <c r="K39" s="150" t="s">
        <v>132</v>
      </c>
      <c r="L39" s="150" t="s">
        <v>283</v>
      </c>
      <c r="M39" s="158">
        <v>1.4716</v>
      </c>
      <c r="N39" s="158">
        <v>2.1124999999999998</v>
      </c>
      <c r="O39" s="158">
        <v>0.56414279999999994</v>
      </c>
      <c r="P39" s="158">
        <v>0.14109160000000087</v>
      </c>
    </row>
    <row r="40" spans="1:16">
      <c r="A40" s="152">
        <v>39</v>
      </c>
      <c r="B40" s="150" t="s">
        <v>142</v>
      </c>
      <c r="C40" s="150">
        <v>5</v>
      </c>
      <c r="D40" s="150">
        <v>5</v>
      </c>
      <c r="E40" s="150" t="s">
        <v>233</v>
      </c>
      <c r="F40" s="150" t="s">
        <v>228</v>
      </c>
      <c r="G40" s="150">
        <v>28</v>
      </c>
      <c r="H40" s="150" t="s">
        <v>234</v>
      </c>
      <c r="I40" s="150" t="s">
        <v>136</v>
      </c>
      <c r="J40" s="150" t="s">
        <v>132</v>
      </c>
      <c r="K40" s="150" t="s">
        <v>132</v>
      </c>
      <c r="L40" s="150" t="s">
        <v>284</v>
      </c>
      <c r="M40" s="150" t="s">
        <v>132</v>
      </c>
      <c r="N40" s="150" t="s">
        <v>132</v>
      </c>
      <c r="O40" s="150" t="s">
        <v>132</v>
      </c>
      <c r="P40" s="150" t="s">
        <v>132</v>
      </c>
    </row>
    <row r="41" spans="1:16">
      <c r="A41" s="152">
        <v>40</v>
      </c>
      <c r="B41" s="150" t="s">
        <v>142</v>
      </c>
      <c r="C41" s="150">
        <v>5</v>
      </c>
      <c r="D41" s="150">
        <v>5</v>
      </c>
      <c r="E41" s="150" t="s">
        <v>233</v>
      </c>
      <c r="F41" s="150" t="s">
        <v>228</v>
      </c>
      <c r="G41" s="150">
        <v>70</v>
      </c>
      <c r="H41" s="150" t="s">
        <v>235</v>
      </c>
      <c r="I41" s="150" t="s">
        <v>136</v>
      </c>
      <c r="J41" s="150" t="s">
        <v>132</v>
      </c>
      <c r="K41" s="150" t="s">
        <v>132</v>
      </c>
      <c r="L41" s="150" t="s">
        <v>284</v>
      </c>
      <c r="M41" s="150" t="s">
        <v>132</v>
      </c>
      <c r="N41" s="150" t="s">
        <v>132</v>
      </c>
      <c r="O41" s="150" t="s">
        <v>132</v>
      </c>
      <c r="P41" s="150" t="s">
        <v>132</v>
      </c>
    </row>
    <row r="42" spans="1:16">
      <c r="A42" s="152">
        <v>41</v>
      </c>
      <c r="B42" s="150" t="s">
        <v>142</v>
      </c>
      <c r="C42" s="150">
        <v>5</v>
      </c>
      <c r="D42" s="150">
        <v>5</v>
      </c>
      <c r="E42" s="150" t="s">
        <v>233</v>
      </c>
      <c r="F42" s="150" t="s">
        <v>228</v>
      </c>
      <c r="G42" s="150">
        <v>112</v>
      </c>
      <c r="H42" s="150" t="s">
        <v>235</v>
      </c>
      <c r="I42" s="150" t="s">
        <v>136</v>
      </c>
      <c r="J42" s="150" t="s">
        <v>132</v>
      </c>
      <c r="K42" s="150" t="s">
        <v>132</v>
      </c>
      <c r="L42" s="150" t="s">
        <v>284</v>
      </c>
      <c r="M42" s="150" t="s">
        <v>132</v>
      </c>
      <c r="N42" s="150" t="s">
        <v>132</v>
      </c>
      <c r="O42" s="150" t="s">
        <v>132</v>
      </c>
      <c r="P42" s="150" t="s">
        <v>132</v>
      </c>
    </row>
    <row r="43" spans="1:16">
      <c r="A43" s="152">
        <v>42</v>
      </c>
      <c r="B43" s="150" t="s">
        <v>142</v>
      </c>
      <c r="C43" s="150">
        <v>5</v>
      </c>
      <c r="D43" s="150">
        <v>5</v>
      </c>
      <c r="E43" s="150" t="s">
        <v>233</v>
      </c>
      <c r="F43" s="150" t="s">
        <v>228</v>
      </c>
      <c r="G43" s="150">
        <v>28</v>
      </c>
      <c r="H43" s="150" t="s">
        <v>234</v>
      </c>
      <c r="I43" s="150" t="s">
        <v>136</v>
      </c>
      <c r="J43" s="150" t="s">
        <v>132</v>
      </c>
      <c r="K43" s="150" t="s">
        <v>132</v>
      </c>
      <c r="L43" s="150" t="s">
        <v>284</v>
      </c>
      <c r="M43" s="150" t="s">
        <v>132</v>
      </c>
      <c r="N43" s="150" t="s">
        <v>132</v>
      </c>
      <c r="O43" s="150" t="s">
        <v>132</v>
      </c>
      <c r="P43" s="150" t="s">
        <v>132</v>
      </c>
    </row>
    <row r="44" spans="1:16">
      <c r="A44" s="152">
        <v>43</v>
      </c>
      <c r="B44" s="150" t="s">
        <v>142</v>
      </c>
      <c r="C44" s="150">
        <v>5</v>
      </c>
      <c r="D44" s="150">
        <v>5</v>
      </c>
      <c r="E44" s="150" t="s">
        <v>233</v>
      </c>
      <c r="F44" s="150" t="s">
        <v>228</v>
      </c>
      <c r="G44" s="150">
        <v>70</v>
      </c>
      <c r="H44" s="150" t="s">
        <v>235</v>
      </c>
      <c r="I44" s="150" t="s">
        <v>136</v>
      </c>
      <c r="J44" s="150" t="s">
        <v>132</v>
      </c>
      <c r="K44" s="150" t="s">
        <v>132</v>
      </c>
      <c r="L44" s="150" t="s">
        <v>284</v>
      </c>
      <c r="M44" s="150" t="s">
        <v>132</v>
      </c>
      <c r="N44" s="150" t="s">
        <v>132</v>
      </c>
      <c r="O44" s="150" t="s">
        <v>132</v>
      </c>
      <c r="P44" s="150" t="s">
        <v>132</v>
      </c>
    </row>
    <row r="45" spans="1:16">
      <c r="A45" s="152">
        <v>44</v>
      </c>
      <c r="B45" s="150" t="s">
        <v>142</v>
      </c>
      <c r="C45" s="150">
        <v>5</v>
      </c>
      <c r="D45" s="150">
        <v>5</v>
      </c>
      <c r="E45" s="150" t="s">
        <v>233</v>
      </c>
      <c r="F45" s="150" t="s">
        <v>228</v>
      </c>
      <c r="G45" s="150">
        <v>112</v>
      </c>
      <c r="H45" s="150" t="s">
        <v>235</v>
      </c>
      <c r="I45" s="150" t="s">
        <v>136</v>
      </c>
      <c r="J45" s="150" t="s">
        <v>132</v>
      </c>
      <c r="K45" s="150" t="s">
        <v>132</v>
      </c>
      <c r="L45" s="150" t="s">
        <v>284</v>
      </c>
      <c r="M45" s="150" t="s">
        <v>132</v>
      </c>
      <c r="N45" s="150" t="s">
        <v>132</v>
      </c>
      <c r="O45" s="150" t="s">
        <v>132</v>
      </c>
      <c r="P45" s="150" t="s">
        <v>132</v>
      </c>
    </row>
    <row r="46" spans="1:16">
      <c r="A46" s="152">
        <v>45</v>
      </c>
      <c r="B46" s="150" t="s">
        <v>142</v>
      </c>
      <c r="C46" s="150">
        <v>5</v>
      </c>
      <c r="D46" s="150">
        <v>5</v>
      </c>
      <c r="E46" s="150" t="s">
        <v>233</v>
      </c>
      <c r="F46" s="150" t="s">
        <v>229</v>
      </c>
      <c r="G46" s="150">
        <v>28</v>
      </c>
      <c r="H46" s="150" t="s">
        <v>234</v>
      </c>
      <c r="I46" s="150" t="s">
        <v>136</v>
      </c>
      <c r="J46" s="150" t="s">
        <v>132</v>
      </c>
      <c r="K46" s="150" t="s">
        <v>132</v>
      </c>
      <c r="L46" s="150" t="s">
        <v>284</v>
      </c>
      <c r="M46" s="150" t="s">
        <v>132</v>
      </c>
      <c r="N46" s="150" t="s">
        <v>132</v>
      </c>
      <c r="O46" s="150" t="s">
        <v>132</v>
      </c>
      <c r="P46" s="150" t="s">
        <v>132</v>
      </c>
    </row>
    <row r="47" spans="1:16">
      <c r="A47" s="152">
        <v>46</v>
      </c>
      <c r="B47" s="150" t="s">
        <v>142</v>
      </c>
      <c r="C47" s="150">
        <v>5</v>
      </c>
      <c r="D47" s="150">
        <v>5</v>
      </c>
      <c r="E47" s="150" t="s">
        <v>233</v>
      </c>
      <c r="F47" s="150" t="s">
        <v>229</v>
      </c>
      <c r="G47" s="150">
        <v>70</v>
      </c>
      <c r="H47" s="150" t="s">
        <v>235</v>
      </c>
      <c r="I47" s="150" t="s">
        <v>136</v>
      </c>
      <c r="J47" s="150" t="s">
        <v>132</v>
      </c>
      <c r="K47" s="150" t="s">
        <v>132</v>
      </c>
      <c r="L47" s="150" t="s">
        <v>284</v>
      </c>
      <c r="M47" s="150" t="s">
        <v>132</v>
      </c>
      <c r="N47" s="150" t="s">
        <v>132</v>
      </c>
      <c r="O47" s="150" t="s">
        <v>132</v>
      </c>
      <c r="P47" s="150" t="s">
        <v>132</v>
      </c>
    </row>
    <row r="48" spans="1:16">
      <c r="A48" s="152">
        <v>47</v>
      </c>
      <c r="B48" s="150" t="s">
        <v>142</v>
      </c>
      <c r="C48" s="150">
        <v>5</v>
      </c>
      <c r="D48" s="150">
        <v>5</v>
      </c>
      <c r="E48" s="150" t="s">
        <v>233</v>
      </c>
      <c r="F48" s="150" t="s">
        <v>229</v>
      </c>
      <c r="G48" s="150">
        <v>112</v>
      </c>
      <c r="H48" s="150" t="s">
        <v>235</v>
      </c>
      <c r="I48" s="150" t="s">
        <v>136</v>
      </c>
      <c r="J48" s="150" t="s">
        <v>132</v>
      </c>
      <c r="K48" s="150" t="s">
        <v>132</v>
      </c>
      <c r="L48" s="150" t="s">
        <v>284</v>
      </c>
      <c r="M48" s="150" t="s">
        <v>132</v>
      </c>
      <c r="N48" s="150" t="s">
        <v>132</v>
      </c>
      <c r="O48" s="150" t="s">
        <v>132</v>
      </c>
      <c r="P48" s="150" t="s">
        <v>132</v>
      </c>
    </row>
    <row r="49" spans="1:16">
      <c r="A49" s="152">
        <v>48</v>
      </c>
      <c r="B49" s="150" t="s">
        <v>142</v>
      </c>
      <c r="C49" s="150">
        <v>3</v>
      </c>
      <c r="D49" s="150">
        <v>3</v>
      </c>
      <c r="E49" s="150" t="s">
        <v>233</v>
      </c>
      <c r="F49" s="150" t="s">
        <v>229</v>
      </c>
      <c r="G49" s="150">
        <v>28</v>
      </c>
      <c r="H49" s="150" t="s">
        <v>234</v>
      </c>
      <c r="I49" s="150" t="s">
        <v>136</v>
      </c>
      <c r="J49" s="150" t="s">
        <v>132</v>
      </c>
      <c r="K49" s="150" t="s">
        <v>132</v>
      </c>
      <c r="L49" s="150" t="s">
        <v>283</v>
      </c>
      <c r="M49" s="150" t="s">
        <v>132</v>
      </c>
      <c r="N49" s="150" t="s">
        <v>132</v>
      </c>
      <c r="O49" s="150" t="s">
        <v>132</v>
      </c>
      <c r="P49" s="150" t="s">
        <v>132</v>
      </c>
    </row>
    <row r="50" spans="1:16">
      <c r="A50" s="152">
        <v>49</v>
      </c>
      <c r="B50" s="150" t="s">
        <v>142</v>
      </c>
      <c r="C50" s="150">
        <v>3</v>
      </c>
      <c r="D50" s="150">
        <v>3</v>
      </c>
      <c r="E50" s="150" t="s">
        <v>233</v>
      </c>
      <c r="F50" s="150" t="s">
        <v>229</v>
      </c>
      <c r="G50" s="150">
        <v>70</v>
      </c>
      <c r="H50" s="150" t="s">
        <v>235</v>
      </c>
      <c r="I50" s="150" t="s">
        <v>136</v>
      </c>
      <c r="J50" s="150" t="s">
        <v>132</v>
      </c>
      <c r="K50" s="150" t="s">
        <v>132</v>
      </c>
      <c r="L50" s="150" t="s">
        <v>283</v>
      </c>
      <c r="M50" s="150" t="s">
        <v>132</v>
      </c>
      <c r="N50" s="150" t="s">
        <v>132</v>
      </c>
      <c r="O50" s="150" t="s">
        <v>132</v>
      </c>
      <c r="P50" s="150" t="s">
        <v>132</v>
      </c>
    </row>
    <row r="51" spans="1:16">
      <c r="A51" s="152">
        <v>50</v>
      </c>
      <c r="B51" s="150" t="s">
        <v>142</v>
      </c>
      <c r="C51" s="150">
        <v>5</v>
      </c>
      <c r="D51" s="150">
        <v>5</v>
      </c>
      <c r="E51" s="150" t="s">
        <v>233</v>
      </c>
      <c r="F51" s="150" t="s">
        <v>229</v>
      </c>
      <c r="G51" s="150">
        <v>126</v>
      </c>
      <c r="H51" s="150" t="s">
        <v>235</v>
      </c>
      <c r="I51" s="150" t="s">
        <v>136</v>
      </c>
      <c r="J51" s="150" t="s">
        <v>132</v>
      </c>
      <c r="K51" s="150" t="s">
        <v>132</v>
      </c>
      <c r="L51" s="150" t="s">
        <v>283</v>
      </c>
      <c r="M51" s="150" t="s">
        <v>132</v>
      </c>
      <c r="N51" s="150" t="s">
        <v>132</v>
      </c>
      <c r="O51" s="150" t="s">
        <v>132</v>
      </c>
      <c r="P51" s="150" t="s">
        <v>132</v>
      </c>
    </row>
    <row r="52" spans="1:16">
      <c r="A52" s="152">
        <v>51</v>
      </c>
      <c r="B52" s="150" t="s">
        <v>142</v>
      </c>
      <c r="C52" s="150">
        <v>3</v>
      </c>
      <c r="D52" s="150">
        <v>3</v>
      </c>
      <c r="E52" s="150" t="s">
        <v>233</v>
      </c>
      <c r="F52" s="150" t="s">
        <v>228</v>
      </c>
      <c r="G52" s="150">
        <v>28</v>
      </c>
      <c r="H52" s="150" t="s">
        <v>234</v>
      </c>
      <c r="I52" s="150" t="s">
        <v>136</v>
      </c>
      <c r="J52" s="150" t="s">
        <v>132</v>
      </c>
      <c r="K52" s="150" t="s">
        <v>132</v>
      </c>
      <c r="L52" s="150" t="s">
        <v>284</v>
      </c>
      <c r="M52" s="150" t="s">
        <v>132</v>
      </c>
      <c r="N52" s="150" t="s">
        <v>132</v>
      </c>
      <c r="O52" s="150" t="s">
        <v>132</v>
      </c>
      <c r="P52" s="150" t="s">
        <v>132</v>
      </c>
    </row>
    <row r="53" spans="1:16">
      <c r="A53" s="152">
        <v>52</v>
      </c>
      <c r="B53" s="150" t="s">
        <v>142</v>
      </c>
      <c r="C53" s="150">
        <v>3</v>
      </c>
      <c r="D53" s="150">
        <v>3</v>
      </c>
      <c r="E53" s="150" t="s">
        <v>233</v>
      </c>
      <c r="F53" s="150" t="s">
        <v>228</v>
      </c>
      <c r="G53" s="150">
        <v>70</v>
      </c>
      <c r="H53" s="150" t="s">
        <v>235</v>
      </c>
      <c r="I53" s="150" t="s">
        <v>136</v>
      </c>
      <c r="J53" s="150" t="s">
        <v>132</v>
      </c>
      <c r="K53" s="150" t="s">
        <v>132</v>
      </c>
      <c r="L53" s="150" t="s">
        <v>284</v>
      </c>
      <c r="M53" s="150" t="s">
        <v>132</v>
      </c>
      <c r="N53" s="150" t="s">
        <v>132</v>
      </c>
      <c r="O53" s="150" t="s">
        <v>132</v>
      </c>
      <c r="P53" s="150" t="s">
        <v>132</v>
      </c>
    </row>
    <row r="54" spans="1:16">
      <c r="A54" s="152">
        <v>53</v>
      </c>
      <c r="B54" s="150" t="s">
        <v>142</v>
      </c>
      <c r="C54" s="150">
        <v>6</v>
      </c>
      <c r="D54" s="150">
        <v>6</v>
      </c>
      <c r="E54" s="150" t="s">
        <v>233</v>
      </c>
      <c r="F54" s="150" t="s">
        <v>228</v>
      </c>
      <c r="G54" s="150">
        <v>126</v>
      </c>
      <c r="H54" s="150" t="s">
        <v>235</v>
      </c>
      <c r="I54" s="150" t="s">
        <v>136</v>
      </c>
      <c r="J54" s="150" t="s">
        <v>132</v>
      </c>
      <c r="K54" s="150" t="s">
        <v>132</v>
      </c>
      <c r="L54" s="150" t="s">
        <v>284</v>
      </c>
      <c r="M54" s="150" t="s">
        <v>132</v>
      </c>
      <c r="N54" s="150" t="s">
        <v>132</v>
      </c>
      <c r="O54" s="150" t="s">
        <v>132</v>
      </c>
      <c r="P54" s="150" t="s">
        <v>132</v>
      </c>
    </row>
    <row r="55" spans="1:16">
      <c r="A55" s="152">
        <v>54</v>
      </c>
      <c r="B55" s="150" t="s">
        <v>142</v>
      </c>
      <c r="C55" s="150">
        <v>3</v>
      </c>
      <c r="D55" s="150">
        <v>3</v>
      </c>
      <c r="E55" s="150" t="s">
        <v>233</v>
      </c>
      <c r="F55" s="150" t="s">
        <v>230</v>
      </c>
      <c r="G55" s="150">
        <v>28</v>
      </c>
      <c r="H55" s="150" t="s">
        <v>234</v>
      </c>
      <c r="I55" s="150" t="s">
        <v>136</v>
      </c>
      <c r="J55" s="150" t="s">
        <v>132</v>
      </c>
      <c r="K55" s="150" t="s">
        <v>132</v>
      </c>
      <c r="L55" s="150" t="s">
        <v>284</v>
      </c>
      <c r="M55" s="150" t="s">
        <v>132</v>
      </c>
      <c r="N55" s="150" t="s">
        <v>132</v>
      </c>
      <c r="O55" s="150" t="s">
        <v>132</v>
      </c>
      <c r="P55" s="150" t="s">
        <v>132</v>
      </c>
    </row>
    <row r="56" spans="1:16">
      <c r="A56" s="152">
        <v>55</v>
      </c>
      <c r="B56" s="150" t="s">
        <v>142</v>
      </c>
      <c r="C56" s="150">
        <v>3</v>
      </c>
      <c r="D56" s="150">
        <v>3</v>
      </c>
      <c r="E56" s="150" t="s">
        <v>233</v>
      </c>
      <c r="F56" s="150" t="s">
        <v>230</v>
      </c>
      <c r="G56" s="150">
        <v>70</v>
      </c>
      <c r="H56" s="150" t="s">
        <v>235</v>
      </c>
      <c r="I56" s="150" t="s">
        <v>136</v>
      </c>
      <c r="J56" s="150" t="s">
        <v>132</v>
      </c>
      <c r="K56" s="150" t="s">
        <v>132</v>
      </c>
      <c r="L56" s="150" t="s">
        <v>284</v>
      </c>
      <c r="M56" s="150" t="s">
        <v>132</v>
      </c>
      <c r="N56" s="150" t="s">
        <v>132</v>
      </c>
      <c r="O56" s="150" t="s">
        <v>132</v>
      </c>
      <c r="P56" s="150" t="s">
        <v>132</v>
      </c>
    </row>
    <row r="57" spans="1:16">
      <c r="A57" s="152">
        <v>56</v>
      </c>
      <c r="B57" s="150" t="s">
        <v>142</v>
      </c>
      <c r="C57" s="150">
        <v>6</v>
      </c>
      <c r="D57" s="150">
        <v>6</v>
      </c>
      <c r="E57" s="150" t="s">
        <v>233</v>
      </c>
      <c r="F57" s="150" t="s">
        <v>230</v>
      </c>
      <c r="G57" s="150">
        <v>126</v>
      </c>
      <c r="H57" s="150" t="s">
        <v>235</v>
      </c>
      <c r="I57" s="150" t="s">
        <v>136</v>
      </c>
      <c r="J57" s="150" t="s">
        <v>132</v>
      </c>
      <c r="K57" s="150" t="s">
        <v>132</v>
      </c>
      <c r="L57" s="150" t="s">
        <v>284</v>
      </c>
      <c r="M57" s="150" t="s">
        <v>132</v>
      </c>
      <c r="N57" s="150" t="s">
        <v>132</v>
      </c>
      <c r="O57" s="150" t="s">
        <v>132</v>
      </c>
      <c r="P57" s="150" t="s">
        <v>132</v>
      </c>
    </row>
    <row r="58" spans="1:16">
      <c r="A58" s="152">
        <v>57</v>
      </c>
      <c r="B58" s="150" t="s">
        <v>143</v>
      </c>
      <c r="C58" s="150">
        <v>6</v>
      </c>
      <c r="D58" s="150">
        <v>6</v>
      </c>
      <c r="E58" s="150" t="s">
        <v>233</v>
      </c>
      <c r="F58" s="150" t="s">
        <v>228</v>
      </c>
      <c r="G58" s="150">
        <v>56</v>
      </c>
      <c r="H58" s="150" t="s">
        <v>234</v>
      </c>
      <c r="I58" s="150" t="s">
        <v>136</v>
      </c>
      <c r="J58" s="150" t="s">
        <v>132</v>
      </c>
      <c r="K58" s="150" t="s">
        <v>132</v>
      </c>
      <c r="L58" s="150" t="s">
        <v>285</v>
      </c>
      <c r="M58" s="150">
        <v>239</v>
      </c>
      <c r="N58" s="150">
        <v>216</v>
      </c>
      <c r="O58" s="158">
        <v>53.878</v>
      </c>
      <c r="P58" s="158">
        <v>56.326999999999998</v>
      </c>
    </row>
    <row r="59" spans="1:16">
      <c r="A59" s="152">
        <v>58</v>
      </c>
      <c r="B59" s="150" t="s">
        <v>143</v>
      </c>
      <c r="C59" s="150">
        <v>6</v>
      </c>
      <c r="D59" s="150">
        <v>6</v>
      </c>
      <c r="E59" s="150" t="s">
        <v>233</v>
      </c>
      <c r="F59" s="150" t="s">
        <v>230</v>
      </c>
      <c r="G59" s="150">
        <v>56</v>
      </c>
      <c r="H59" s="150" t="s">
        <v>234</v>
      </c>
      <c r="I59" s="150" t="s">
        <v>136</v>
      </c>
      <c r="J59" s="150" t="s">
        <v>132</v>
      </c>
      <c r="K59" s="150" t="s">
        <v>132</v>
      </c>
      <c r="L59" s="150" t="s">
        <v>285</v>
      </c>
      <c r="M59" s="150">
        <v>168</v>
      </c>
      <c r="N59" s="150">
        <v>328</v>
      </c>
      <c r="O59" s="158">
        <v>107.756</v>
      </c>
      <c r="P59" s="158">
        <v>56.326999999999998</v>
      </c>
    </row>
    <row r="60" spans="1:16">
      <c r="A60" s="152">
        <v>59</v>
      </c>
      <c r="B60" s="150" t="s">
        <v>143</v>
      </c>
      <c r="C60" s="150">
        <v>6</v>
      </c>
      <c r="D60" s="150">
        <v>6</v>
      </c>
      <c r="E60" s="150" t="s">
        <v>233</v>
      </c>
      <c r="F60" s="150" t="s">
        <v>228</v>
      </c>
      <c r="G60" s="150">
        <v>56</v>
      </c>
      <c r="H60" s="150" t="s">
        <v>234</v>
      </c>
      <c r="I60" s="150" t="s">
        <v>136</v>
      </c>
      <c r="J60" s="150" t="s">
        <v>132</v>
      </c>
      <c r="K60" s="150" t="s">
        <v>132</v>
      </c>
      <c r="L60" s="150" t="s">
        <v>285</v>
      </c>
      <c r="M60" s="150">
        <v>227</v>
      </c>
      <c r="N60" s="150">
        <v>274</v>
      </c>
      <c r="O60" s="158">
        <v>41.632999999999996</v>
      </c>
      <c r="P60" s="158">
        <v>46.530999999999999</v>
      </c>
    </row>
    <row r="61" spans="1:16">
      <c r="A61" s="152">
        <v>60</v>
      </c>
      <c r="B61" s="150" t="s">
        <v>143</v>
      </c>
      <c r="C61" s="150">
        <v>6</v>
      </c>
      <c r="D61" s="150">
        <v>6</v>
      </c>
      <c r="E61" s="150" t="s">
        <v>233</v>
      </c>
      <c r="F61" s="150" t="s">
        <v>230</v>
      </c>
      <c r="G61" s="150">
        <v>56</v>
      </c>
      <c r="H61" s="150" t="s">
        <v>234</v>
      </c>
      <c r="I61" s="150" t="s">
        <v>136</v>
      </c>
      <c r="J61" s="150" t="s">
        <v>132</v>
      </c>
      <c r="K61" s="150" t="s">
        <v>132</v>
      </c>
      <c r="L61" s="150" t="s">
        <v>285</v>
      </c>
      <c r="M61" s="150">
        <v>174</v>
      </c>
      <c r="N61" s="150">
        <v>340</v>
      </c>
      <c r="O61" s="158">
        <v>46.530999999999999</v>
      </c>
      <c r="P61" s="158">
        <v>73.47</v>
      </c>
    </row>
    <row r="62" spans="1:16">
      <c r="A62" s="152">
        <v>61</v>
      </c>
      <c r="B62" s="150" t="s">
        <v>144</v>
      </c>
      <c r="C62" s="150">
        <v>3</v>
      </c>
      <c r="D62" s="150">
        <v>3</v>
      </c>
      <c r="E62" s="150" t="s">
        <v>233</v>
      </c>
      <c r="F62" s="150" t="s">
        <v>229</v>
      </c>
      <c r="G62" s="150">
        <v>56</v>
      </c>
      <c r="H62" s="150" t="s">
        <v>234</v>
      </c>
      <c r="I62" s="150" t="s">
        <v>136</v>
      </c>
      <c r="J62" s="150" t="s">
        <v>132</v>
      </c>
      <c r="K62" s="150" t="s">
        <v>132</v>
      </c>
      <c r="L62" s="150" t="s">
        <v>132</v>
      </c>
      <c r="M62" s="150" t="s">
        <v>132</v>
      </c>
      <c r="N62" s="150" t="s">
        <v>132</v>
      </c>
      <c r="O62" s="150" t="s">
        <v>132</v>
      </c>
      <c r="P62" s="150" t="s">
        <v>132</v>
      </c>
    </row>
    <row r="63" spans="1:16">
      <c r="A63" s="152">
        <v>62</v>
      </c>
      <c r="B63" s="150" t="s">
        <v>144</v>
      </c>
      <c r="C63" s="150">
        <v>3</v>
      </c>
      <c r="D63" s="150">
        <v>3</v>
      </c>
      <c r="E63" s="150" t="s">
        <v>233</v>
      </c>
      <c r="F63" s="150" t="s">
        <v>230</v>
      </c>
      <c r="G63" s="150">
        <v>56</v>
      </c>
      <c r="H63" s="150" t="s">
        <v>234</v>
      </c>
      <c r="I63" s="150" t="s">
        <v>136</v>
      </c>
      <c r="J63" s="150" t="s">
        <v>132</v>
      </c>
      <c r="K63" s="150" t="s">
        <v>132</v>
      </c>
      <c r="L63" s="150" t="s">
        <v>132</v>
      </c>
      <c r="M63" s="150" t="s">
        <v>132</v>
      </c>
      <c r="N63" s="150" t="s">
        <v>132</v>
      </c>
      <c r="O63" s="150" t="s">
        <v>132</v>
      </c>
      <c r="P63" s="150" t="s">
        <v>132</v>
      </c>
    </row>
    <row r="64" spans="1:16">
      <c r="A64" s="152">
        <v>63</v>
      </c>
      <c r="B64" s="150" t="s">
        <v>144</v>
      </c>
      <c r="C64" s="150">
        <v>3</v>
      </c>
      <c r="D64" s="150">
        <v>3</v>
      </c>
      <c r="E64" s="150" t="s">
        <v>233</v>
      </c>
      <c r="F64" s="150" t="s">
        <v>228</v>
      </c>
      <c r="G64" s="150">
        <v>56</v>
      </c>
      <c r="H64" s="150" t="s">
        <v>234</v>
      </c>
      <c r="I64" s="150" t="s">
        <v>136</v>
      </c>
      <c r="J64" s="150" t="s">
        <v>132</v>
      </c>
      <c r="K64" s="150" t="s">
        <v>132</v>
      </c>
      <c r="L64" s="150" t="s">
        <v>132</v>
      </c>
      <c r="M64" s="150" t="s">
        <v>132</v>
      </c>
      <c r="N64" s="150" t="s">
        <v>132</v>
      </c>
      <c r="O64" s="150" t="s">
        <v>132</v>
      </c>
      <c r="P64" s="150" t="s">
        <v>132</v>
      </c>
    </row>
    <row r="65" spans="1:16">
      <c r="A65" s="152">
        <v>64</v>
      </c>
      <c r="B65" s="150" t="s">
        <v>144</v>
      </c>
      <c r="C65" s="150">
        <v>4</v>
      </c>
      <c r="D65" s="150">
        <v>4</v>
      </c>
      <c r="E65" s="150" t="s">
        <v>233</v>
      </c>
      <c r="F65" s="150" t="s">
        <v>229</v>
      </c>
      <c r="G65" s="150">
        <v>56</v>
      </c>
      <c r="H65" s="150" t="s">
        <v>234</v>
      </c>
      <c r="I65" s="150" t="s">
        <v>136</v>
      </c>
      <c r="J65" s="150" t="s">
        <v>132</v>
      </c>
      <c r="K65" s="150" t="s">
        <v>132</v>
      </c>
      <c r="L65" s="150" t="s">
        <v>132</v>
      </c>
      <c r="M65" s="150" t="s">
        <v>132</v>
      </c>
      <c r="N65" s="150" t="s">
        <v>132</v>
      </c>
      <c r="O65" s="150" t="s">
        <v>132</v>
      </c>
      <c r="P65" s="150" t="s">
        <v>132</v>
      </c>
    </row>
    <row r="66" spans="1:16">
      <c r="A66" s="152">
        <v>65</v>
      </c>
      <c r="B66" s="150" t="s">
        <v>144</v>
      </c>
      <c r="C66" s="150">
        <v>4</v>
      </c>
      <c r="D66" s="150">
        <v>4</v>
      </c>
      <c r="E66" s="150" t="s">
        <v>233</v>
      </c>
      <c r="F66" s="150" t="s">
        <v>230</v>
      </c>
      <c r="G66" s="150">
        <v>56</v>
      </c>
      <c r="H66" s="150" t="s">
        <v>234</v>
      </c>
      <c r="I66" s="150" t="s">
        <v>136</v>
      </c>
      <c r="J66" s="150" t="s">
        <v>132</v>
      </c>
      <c r="K66" s="150" t="s">
        <v>132</v>
      </c>
      <c r="L66" s="150" t="s">
        <v>132</v>
      </c>
      <c r="M66" s="150" t="s">
        <v>132</v>
      </c>
      <c r="N66" s="150" t="s">
        <v>132</v>
      </c>
      <c r="O66" s="150" t="s">
        <v>132</v>
      </c>
      <c r="P66" s="150" t="s">
        <v>132</v>
      </c>
    </row>
    <row r="67" spans="1:16">
      <c r="A67" s="152">
        <v>66</v>
      </c>
      <c r="B67" s="150" t="s">
        <v>144</v>
      </c>
      <c r="C67" s="150">
        <v>4</v>
      </c>
      <c r="D67" s="150">
        <v>4</v>
      </c>
      <c r="E67" s="150" t="s">
        <v>233</v>
      </c>
      <c r="F67" s="150" t="s">
        <v>228</v>
      </c>
      <c r="G67" s="150">
        <v>56</v>
      </c>
      <c r="H67" s="150" t="s">
        <v>234</v>
      </c>
      <c r="I67" s="150" t="s">
        <v>136</v>
      </c>
      <c r="J67" s="150" t="s">
        <v>132</v>
      </c>
      <c r="K67" s="150" t="s">
        <v>132</v>
      </c>
      <c r="L67" s="150" t="s">
        <v>132</v>
      </c>
      <c r="M67" s="150" t="s">
        <v>132</v>
      </c>
      <c r="N67" s="150" t="s">
        <v>132</v>
      </c>
      <c r="O67" s="150" t="s">
        <v>132</v>
      </c>
      <c r="P67" s="150" t="s">
        <v>132</v>
      </c>
    </row>
    <row r="68" spans="1:16">
      <c r="A68" s="152">
        <v>67</v>
      </c>
      <c r="B68" s="150" t="s">
        <v>145</v>
      </c>
      <c r="C68" s="150">
        <v>4</v>
      </c>
      <c r="D68" s="150">
        <v>4</v>
      </c>
      <c r="E68" s="150" t="s">
        <v>233</v>
      </c>
      <c r="F68" s="150" t="s">
        <v>229</v>
      </c>
      <c r="G68" s="180">
        <v>63</v>
      </c>
      <c r="H68" s="150" t="s">
        <v>234</v>
      </c>
      <c r="I68" s="150" t="s">
        <v>136</v>
      </c>
      <c r="J68" s="150" t="s">
        <v>132</v>
      </c>
      <c r="K68" s="150" t="s">
        <v>132</v>
      </c>
      <c r="L68" s="150" t="s">
        <v>132</v>
      </c>
      <c r="M68" s="150">
        <v>122.4</v>
      </c>
      <c r="N68" s="150">
        <v>110.7</v>
      </c>
      <c r="O68" s="150">
        <v>12.24</v>
      </c>
      <c r="P68" s="150">
        <v>11.07</v>
      </c>
    </row>
    <row r="69" spans="1:16">
      <c r="A69" s="152">
        <v>68</v>
      </c>
      <c r="B69" s="150" t="s">
        <v>146</v>
      </c>
      <c r="C69" s="150">
        <v>5</v>
      </c>
      <c r="D69" s="150">
        <v>5</v>
      </c>
      <c r="E69" s="150" t="s">
        <v>231</v>
      </c>
      <c r="F69" s="150" t="s">
        <v>231</v>
      </c>
      <c r="G69" s="150">
        <v>63</v>
      </c>
      <c r="H69" s="150" t="s">
        <v>234</v>
      </c>
      <c r="I69" s="150" t="s">
        <v>136</v>
      </c>
      <c r="J69" s="151" t="s">
        <v>240</v>
      </c>
      <c r="K69" s="150" t="s">
        <v>240</v>
      </c>
      <c r="L69" s="150" t="s">
        <v>283</v>
      </c>
      <c r="M69" s="159">
        <v>4.036E-2</v>
      </c>
      <c r="N69" s="159">
        <v>0.11766000000000001</v>
      </c>
      <c r="O69" s="159">
        <v>8.1162183312180648E-3</v>
      </c>
      <c r="P69" s="159">
        <v>2.4467590809068213E-2</v>
      </c>
    </row>
    <row r="70" spans="1:16">
      <c r="A70" s="152">
        <v>69</v>
      </c>
      <c r="B70" s="150" t="s">
        <v>146</v>
      </c>
      <c r="C70" s="150">
        <v>5</v>
      </c>
      <c r="D70" s="150">
        <v>5</v>
      </c>
      <c r="E70" s="150" t="s">
        <v>231</v>
      </c>
      <c r="F70" s="150" t="s">
        <v>231</v>
      </c>
      <c r="G70" s="150">
        <v>63</v>
      </c>
      <c r="H70" s="150" t="s">
        <v>234</v>
      </c>
      <c r="I70" s="150" t="s">
        <v>136</v>
      </c>
      <c r="J70" s="151" t="s">
        <v>239</v>
      </c>
      <c r="K70" s="150" t="s">
        <v>240</v>
      </c>
      <c r="L70" s="150" t="s">
        <v>283</v>
      </c>
      <c r="M70" s="159">
        <v>1.62764</v>
      </c>
      <c r="N70" s="159">
        <v>1.4626800000000002</v>
      </c>
      <c r="O70" s="159">
        <v>0.13633790008651445</v>
      </c>
      <c r="P70" s="159">
        <v>0.28297599191450817</v>
      </c>
    </row>
    <row r="71" spans="1:16">
      <c r="A71" s="152">
        <v>70</v>
      </c>
      <c r="B71" s="150" t="s">
        <v>146</v>
      </c>
      <c r="C71" s="150">
        <v>5</v>
      </c>
      <c r="D71" s="150">
        <v>5</v>
      </c>
      <c r="E71" s="150" t="s">
        <v>231</v>
      </c>
      <c r="F71" s="150" t="s">
        <v>231</v>
      </c>
      <c r="G71" s="150">
        <v>63</v>
      </c>
      <c r="H71" s="150" t="s">
        <v>234</v>
      </c>
      <c r="I71" s="150" t="s">
        <v>136</v>
      </c>
      <c r="J71" s="151" t="s">
        <v>239</v>
      </c>
      <c r="K71" s="150" t="s">
        <v>240</v>
      </c>
      <c r="L71" s="150" t="s">
        <v>283</v>
      </c>
      <c r="M71" s="159">
        <v>1.6027400000000001</v>
      </c>
      <c r="N71" s="159">
        <v>1.5006799999999998</v>
      </c>
      <c r="O71" s="159">
        <v>7.7055194503675664E-2</v>
      </c>
      <c r="P71" s="159">
        <v>0.13361703484211992</v>
      </c>
    </row>
    <row r="72" spans="1:16">
      <c r="A72" s="152">
        <v>71</v>
      </c>
      <c r="B72" s="150" t="s">
        <v>146</v>
      </c>
      <c r="C72" s="150">
        <v>5</v>
      </c>
      <c r="D72" s="150">
        <v>5</v>
      </c>
      <c r="E72" s="150" t="s">
        <v>231</v>
      </c>
      <c r="F72" s="150" t="s">
        <v>231</v>
      </c>
      <c r="G72" s="150">
        <v>63</v>
      </c>
      <c r="H72" s="150" t="s">
        <v>234</v>
      </c>
      <c r="I72" s="150" t="s">
        <v>136</v>
      </c>
      <c r="J72" s="151" t="s">
        <v>239</v>
      </c>
      <c r="K72" s="150" t="s">
        <v>240</v>
      </c>
      <c r="L72" s="150" t="s">
        <v>283</v>
      </c>
      <c r="M72" s="159">
        <v>1.5491999999999999</v>
      </c>
      <c r="N72" s="159">
        <v>1.5568</v>
      </c>
      <c r="O72" s="159">
        <v>8.5990464587656718E-2</v>
      </c>
      <c r="P72" s="159">
        <v>9.6643261534366406E-2</v>
      </c>
    </row>
    <row r="73" spans="1:16">
      <c r="A73" s="152">
        <v>72</v>
      </c>
      <c r="B73" s="150" t="s">
        <v>146</v>
      </c>
      <c r="C73" s="150">
        <v>5</v>
      </c>
      <c r="D73" s="150">
        <v>5</v>
      </c>
      <c r="E73" s="150" t="s">
        <v>231</v>
      </c>
      <c r="F73" s="150" t="s">
        <v>231</v>
      </c>
      <c r="G73" s="150">
        <v>63</v>
      </c>
      <c r="H73" s="150" t="s">
        <v>234</v>
      </c>
      <c r="I73" s="150" t="s">
        <v>136</v>
      </c>
      <c r="J73" s="151" t="s">
        <v>239</v>
      </c>
      <c r="K73" s="150" t="s">
        <v>240</v>
      </c>
      <c r="L73" s="150" t="s">
        <v>283</v>
      </c>
      <c r="M73" s="159">
        <v>1.6392</v>
      </c>
      <c r="N73" s="159">
        <v>1.67008</v>
      </c>
      <c r="O73" s="159">
        <v>0.14668454247125223</v>
      </c>
      <c r="P73" s="159">
        <v>7.652549901829675E-2</v>
      </c>
    </row>
    <row r="74" spans="1:16">
      <c r="A74" s="152">
        <v>73</v>
      </c>
      <c r="B74" s="150" t="s">
        <v>146</v>
      </c>
      <c r="C74" s="150">
        <v>5</v>
      </c>
      <c r="D74" s="150">
        <v>5</v>
      </c>
      <c r="E74" s="150" t="s">
        <v>231</v>
      </c>
      <c r="F74" s="150" t="s">
        <v>231</v>
      </c>
      <c r="G74" s="150">
        <v>63</v>
      </c>
      <c r="H74" s="150" t="s">
        <v>234</v>
      </c>
      <c r="I74" s="150" t="s">
        <v>136</v>
      </c>
      <c r="J74" s="151" t="s">
        <v>240</v>
      </c>
      <c r="K74" s="151" t="s">
        <v>241</v>
      </c>
      <c r="L74" s="150" t="s">
        <v>283</v>
      </c>
      <c r="M74" s="159">
        <v>2.504E-2</v>
      </c>
      <c r="N74" s="159">
        <v>3.7560000000000003E-2</v>
      </c>
      <c r="O74" s="159">
        <v>8.8844245733755815E-3</v>
      </c>
      <c r="P74" s="159">
        <v>8.2281832745752254E-3</v>
      </c>
    </row>
    <row r="75" spans="1:16">
      <c r="A75" s="152">
        <v>74</v>
      </c>
      <c r="B75" s="150" t="s">
        <v>146</v>
      </c>
      <c r="C75" s="150">
        <v>5</v>
      </c>
      <c r="D75" s="150">
        <v>5</v>
      </c>
      <c r="E75" s="150" t="s">
        <v>231</v>
      </c>
      <c r="F75" s="150" t="s">
        <v>231</v>
      </c>
      <c r="G75" s="150">
        <v>63</v>
      </c>
      <c r="H75" s="150" t="s">
        <v>234</v>
      </c>
      <c r="I75" s="150" t="s">
        <v>136</v>
      </c>
      <c r="J75" s="151" t="s">
        <v>239</v>
      </c>
      <c r="K75" s="151" t="s">
        <v>241</v>
      </c>
      <c r="L75" s="150" t="s">
        <v>283</v>
      </c>
      <c r="M75" s="159">
        <v>1.1896999999999998</v>
      </c>
      <c r="N75" s="159">
        <v>1.1357400000000002</v>
      </c>
      <c r="O75" s="159">
        <v>0.10070757171136969</v>
      </c>
      <c r="P75" s="159">
        <v>0.14551093773321636</v>
      </c>
    </row>
    <row r="76" spans="1:16">
      <c r="A76" s="152">
        <v>75</v>
      </c>
      <c r="B76" s="150" t="s">
        <v>146</v>
      </c>
      <c r="C76" s="150">
        <v>5</v>
      </c>
      <c r="D76" s="150">
        <v>5</v>
      </c>
      <c r="E76" s="150" t="s">
        <v>231</v>
      </c>
      <c r="F76" s="150" t="s">
        <v>231</v>
      </c>
      <c r="G76" s="150">
        <v>63</v>
      </c>
      <c r="H76" s="150" t="s">
        <v>234</v>
      </c>
      <c r="I76" s="150" t="s">
        <v>136</v>
      </c>
      <c r="J76" s="151" t="s">
        <v>239</v>
      </c>
      <c r="K76" s="151" t="s">
        <v>241</v>
      </c>
      <c r="L76" s="150" t="s">
        <v>283</v>
      </c>
      <c r="M76" s="159">
        <v>1.05332</v>
      </c>
      <c r="N76" s="159">
        <v>1.2309600000000001</v>
      </c>
      <c r="O76" s="159">
        <v>0.12874661937309084</v>
      </c>
      <c r="P76" s="159">
        <v>7.7590837087895548E-2</v>
      </c>
    </row>
    <row r="77" spans="1:16">
      <c r="A77" s="152">
        <v>76</v>
      </c>
      <c r="B77" s="150" t="s">
        <v>146</v>
      </c>
      <c r="C77" s="150">
        <v>5</v>
      </c>
      <c r="D77" s="150">
        <v>5</v>
      </c>
      <c r="E77" s="150" t="s">
        <v>231</v>
      </c>
      <c r="F77" s="150" t="s">
        <v>231</v>
      </c>
      <c r="G77" s="150">
        <v>63</v>
      </c>
      <c r="H77" s="150" t="s">
        <v>234</v>
      </c>
      <c r="I77" s="150" t="s">
        <v>136</v>
      </c>
      <c r="J77" s="151" t="s">
        <v>239</v>
      </c>
      <c r="K77" s="151" t="s">
        <v>241</v>
      </c>
      <c r="L77" s="150" t="s">
        <v>283</v>
      </c>
      <c r="M77" s="159">
        <v>1.2487600000000001</v>
      </c>
      <c r="N77" s="159">
        <v>1.2655000000000001</v>
      </c>
      <c r="O77" s="159">
        <v>0.13583634638785022</v>
      </c>
      <c r="P77" s="159">
        <v>0.12632388926881491</v>
      </c>
    </row>
    <row r="78" spans="1:16">
      <c r="A78" s="152">
        <v>77</v>
      </c>
      <c r="B78" s="150" t="s">
        <v>146</v>
      </c>
      <c r="C78" s="150">
        <v>5</v>
      </c>
      <c r="D78" s="150">
        <v>5</v>
      </c>
      <c r="E78" s="150" t="s">
        <v>231</v>
      </c>
      <c r="F78" s="150" t="s">
        <v>231</v>
      </c>
      <c r="G78" s="150">
        <v>63</v>
      </c>
      <c r="H78" s="150" t="s">
        <v>234</v>
      </c>
      <c r="I78" s="150" t="s">
        <v>136</v>
      </c>
      <c r="J78" s="151" t="s">
        <v>239</v>
      </c>
      <c r="K78" s="151" t="s">
        <v>241</v>
      </c>
      <c r="L78" s="150" t="s">
        <v>283</v>
      </c>
      <c r="M78" s="159">
        <v>1.3081</v>
      </c>
      <c r="N78" s="159">
        <v>1.4176</v>
      </c>
      <c r="O78" s="159">
        <v>0.11985852076510843</v>
      </c>
      <c r="P78" s="159">
        <v>9.4529413411909291E-2</v>
      </c>
    </row>
    <row r="79" spans="1:16">
      <c r="A79" s="152">
        <v>78</v>
      </c>
      <c r="B79" s="150" t="s">
        <v>147</v>
      </c>
      <c r="C79" s="150">
        <v>5</v>
      </c>
      <c r="D79" s="150">
        <v>5</v>
      </c>
      <c r="E79" s="150" t="s">
        <v>231</v>
      </c>
      <c r="F79" s="150" t="s">
        <v>231</v>
      </c>
      <c r="G79" s="150">
        <v>63</v>
      </c>
      <c r="H79" s="150" t="s">
        <v>234</v>
      </c>
      <c r="I79" s="150" t="s">
        <v>136</v>
      </c>
      <c r="J79" s="151" t="s">
        <v>240</v>
      </c>
      <c r="K79" s="150" t="s">
        <v>240</v>
      </c>
      <c r="L79" s="150" t="s">
        <v>283</v>
      </c>
      <c r="M79" s="173">
        <v>0.21459999999999999</v>
      </c>
      <c r="N79" s="173">
        <v>0.49831999999999999</v>
      </c>
      <c r="O79" s="173">
        <v>3.6315905606221721E-2</v>
      </c>
      <c r="P79" s="173">
        <v>0.20491294981040112</v>
      </c>
    </row>
    <row r="80" spans="1:16">
      <c r="A80" s="152">
        <v>79</v>
      </c>
      <c r="B80" s="150" t="s">
        <v>147</v>
      </c>
      <c r="C80" s="150">
        <v>5</v>
      </c>
      <c r="D80" s="150">
        <v>5</v>
      </c>
      <c r="E80" s="150" t="s">
        <v>231</v>
      </c>
      <c r="F80" s="150" t="s">
        <v>231</v>
      </c>
      <c r="G80" s="150">
        <v>63</v>
      </c>
      <c r="H80" s="150" t="s">
        <v>234</v>
      </c>
      <c r="I80" s="150" t="s">
        <v>136</v>
      </c>
      <c r="J80" s="151" t="s">
        <v>240</v>
      </c>
      <c r="K80" s="151" t="s">
        <v>241</v>
      </c>
      <c r="L80" s="150" t="s">
        <v>283</v>
      </c>
      <c r="M80" s="173">
        <v>0.25063999999999997</v>
      </c>
      <c r="N80" s="173">
        <v>0.35872000000000004</v>
      </c>
      <c r="O80" s="173">
        <v>7.8687025614138081E-2</v>
      </c>
      <c r="P80" s="173">
        <v>0.1051929275189163</v>
      </c>
    </row>
    <row r="81" spans="1:16">
      <c r="A81" s="152">
        <v>80</v>
      </c>
      <c r="B81" s="150" t="s">
        <v>147</v>
      </c>
      <c r="C81" s="150">
        <v>5</v>
      </c>
      <c r="D81" s="150">
        <v>5</v>
      </c>
      <c r="E81" s="150" t="s">
        <v>231</v>
      </c>
      <c r="F81" s="150" t="s">
        <v>231</v>
      </c>
      <c r="G81" s="150">
        <v>63</v>
      </c>
      <c r="H81" s="150" t="s">
        <v>234</v>
      </c>
      <c r="I81" s="150" t="s">
        <v>136</v>
      </c>
      <c r="J81" s="151" t="s">
        <v>240</v>
      </c>
      <c r="K81" s="151" t="s">
        <v>241</v>
      </c>
      <c r="L81" s="150" t="s">
        <v>283</v>
      </c>
      <c r="M81" s="173">
        <v>0.11807999999999999</v>
      </c>
      <c r="N81" s="173">
        <v>0.12778</v>
      </c>
      <c r="O81" s="173">
        <v>4.6141488922660526E-2</v>
      </c>
      <c r="P81" s="173">
        <v>4.5445648856628676E-2</v>
      </c>
    </row>
    <row r="82" spans="1:16">
      <c r="A82" s="152">
        <v>81</v>
      </c>
      <c r="B82" s="150" t="s">
        <v>147</v>
      </c>
      <c r="C82" s="150">
        <v>5</v>
      </c>
      <c r="D82" s="150">
        <v>5</v>
      </c>
      <c r="E82" s="150" t="s">
        <v>231</v>
      </c>
      <c r="F82" s="150" t="s">
        <v>231</v>
      </c>
      <c r="G82" s="150">
        <v>63</v>
      </c>
      <c r="H82" s="150" t="s">
        <v>234</v>
      </c>
      <c r="I82" s="150" t="s">
        <v>136</v>
      </c>
      <c r="J82" s="151" t="s">
        <v>240</v>
      </c>
      <c r="K82" s="151" t="s">
        <v>241</v>
      </c>
      <c r="L82" s="150" t="s">
        <v>283</v>
      </c>
      <c r="M82" s="173">
        <v>6.5720000000000001E-2</v>
      </c>
      <c r="N82" s="173">
        <v>5.6660000000000002E-2</v>
      </c>
      <c r="O82" s="173">
        <v>9.1682604675041475E-3</v>
      </c>
      <c r="P82" s="173">
        <v>1.782759097578809E-2</v>
      </c>
    </row>
    <row r="83" spans="1:16">
      <c r="A83" s="152">
        <v>82</v>
      </c>
      <c r="B83" s="150" t="s">
        <v>147</v>
      </c>
      <c r="C83" s="150">
        <v>5</v>
      </c>
      <c r="D83" s="150">
        <v>5</v>
      </c>
      <c r="E83" s="150" t="s">
        <v>231</v>
      </c>
      <c r="F83" s="150" t="s">
        <v>231</v>
      </c>
      <c r="G83" s="150">
        <v>63</v>
      </c>
      <c r="H83" s="150" t="s">
        <v>234</v>
      </c>
      <c r="I83" s="150" t="s">
        <v>136</v>
      </c>
      <c r="J83" s="151" t="s">
        <v>240</v>
      </c>
      <c r="K83" s="151" t="s">
        <v>241</v>
      </c>
      <c r="L83" s="150" t="s">
        <v>283</v>
      </c>
      <c r="M83" s="173">
        <v>3.0040000000000001E-2</v>
      </c>
      <c r="N83" s="173">
        <v>2.6360000000000005E-2</v>
      </c>
      <c r="O83" s="173">
        <v>5.1901830410882432E-3</v>
      </c>
      <c r="P83" s="173">
        <v>4.8070781146138716E-3</v>
      </c>
    </row>
    <row r="84" spans="1:16">
      <c r="A84" s="152">
        <v>83</v>
      </c>
      <c r="B84" s="150" t="s">
        <v>147</v>
      </c>
      <c r="C84" s="150">
        <v>5</v>
      </c>
      <c r="D84" s="150">
        <v>5</v>
      </c>
      <c r="E84" s="150" t="s">
        <v>231</v>
      </c>
      <c r="F84" s="150" t="s">
        <v>231</v>
      </c>
      <c r="G84" s="150">
        <v>63</v>
      </c>
      <c r="H84" s="150" t="s">
        <v>234</v>
      </c>
      <c r="I84" s="150" t="s">
        <v>136</v>
      </c>
      <c r="J84" s="151" t="s">
        <v>239</v>
      </c>
      <c r="K84" s="150" t="s">
        <v>240</v>
      </c>
      <c r="L84" s="150" t="s">
        <v>283</v>
      </c>
      <c r="M84" s="173">
        <v>1.18228</v>
      </c>
      <c r="N84" s="173">
        <v>1.32836</v>
      </c>
      <c r="O84" s="173">
        <v>0.1659686928309077</v>
      </c>
      <c r="P84" s="173">
        <v>0.19049660889370207</v>
      </c>
    </row>
    <row r="85" spans="1:16">
      <c r="A85" s="152">
        <v>84</v>
      </c>
      <c r="B85" s="150" t="s">
        <v>147</v>
      </c>
      <c r="C85" s="150">
        <v>5</v>
      </c>
      <c r="D85" s="150">
        <v>5</v>
      </c>
      <c r="E85" s="150" t="s">
        <v>231</v>
      </c>
      <c r="F85" s="150" t="s">
        <v>231</v>
      </c>
      <c r="G85" s="150">
        <v>63</v>
      </c>
      <c r="H85" s="150" t="s">
        <v>234</v>
      </c>
      <c r="I85" s="150" t="s">
        <v>136</v>
      </c>
      <c r="J85" s="151" t="s">
        <v>239</v>
      </c>
      <c r="K85" s="151" t="s">
        <v>241</v>
      </c>
      <c r="L85" s="150" t="s">
        <v>283</v>
      </c>
      <c r="M85" s="173">
        <v>0.98292000000000002</v>
      </c>
      <c r="N85" s="173">
        <v>1.2532799999999997</v>
      </c>
      <c r="O85" s="173">
        <v>0.4089111541643245</v>
      </c>
      <c r="P85" s="173">
        <v>0.18532010684218927</v>
      </c>
    </row>
    <row r="86" spans="1:16">
      <c r="A86" s="152">
        <v>85</v>
      </c>
      <c r="B86" s="150" t="s">
        <v>147</v>
      </c>
      <c r="C86" s="150">
        <v>5</v>
      </c>
      <c r="D86" s="150">
        <v>5</v>
      </c>
      <c r="E86" s="150" t="s">
        <v>231</v>
      </c>
      <c r="F86" s="150" t="s">
        <v>231</v>
      </c>
      <c r="G86" s="150">
        <v>63</v>
      </c>
      <c r="H86" s="150" t="s">
        <v>234</v>
      </c>
      <c r="I86" s="150" t="s">
        <v>136</v>
      </c>
      <c r="J86" s="151" t="s">
        <v>239</v>
      </c>
      <c r="K86" s="151" t="s">
        <v>241</v>
      </c>
      <c r="L86" s="150" t="s">
        <v>283</v>
      </c>
      <c r="M86" s="173">
        <v>1.00508</v>
      </c>
      <c r="N86" s="173">
        <v>1.10128</v>
      </c>
      <c r="O86" s="173">
        <v>0.21414810762647371</v>
      </c>
      <c r="P86" s="173">
        <v>0.11444289842537153</v>
      </c>
    </row>
    <row r="87" spans="1:16">
      <c r="A87" s="152">
        <v>86</v>
      </c>
      <c r="B87" s="150" t="s">
        <v>147</v>
      </c>
      <c r="C87" s="150">
        <v>5</v>
      </c>
      <c r="D87" s="150">
        <v>5</v>
      </c>
      <c r="E87" s="150" t="s">
        <v>231</v>
      </c>
      <c r="F87" s="150" t="s">
        <v>231</v>
      </c>
      <c r="G87" s="150">
        <v>63</v>
      </c>
      <c r="H87" s="150" t="s">
        <v>234</v>
      </c>
      <c r="I87" s="150" t="s">
        <v>136</v>
      </c>
      <c r="J87" s="151" t="s">
        <v>239</v>
      </c>
      <c r="K87" s="151" t="s">
        <v>241</v>
      </c>
      <c r="L87" s="150" t="s">
        <v>283</v>
      </c>
      <c r="M87" s="173">
        <v>0.92525999999999997</v>
      </c>
      <c r="N87" s="173">
        <v>0.96120000000000005</v>
      </c>
      <c r="O87" s="173">
        <v>5.6962250657784472E-2</v>
      </c>
      <c r="P87" s="173">
        <v>7.6422935039161546E-2</v>
      </c>
    </row>
    <row r="88" spans="1:16">
      <c r="A88" s="152">
        <v>87</v>
      </c>
      <c r="B88" s="150" t="s">
        <v>147</v>
      </c>
      <c r="C88" s="150">
        <v>5</v>
      </c>
      <c r="D88" s="150">
        <v>5</v>
      </c>
      <c r="E88" s="150" t="s">
        <v>231</v>
      </c>
      <c r="F88" s="150" t="s">
        <v>231</v>
      </c>
      <c r="G88" s="150">
        <v>63</v>
      </c>
      <c r="H88" s="150" t="s">
        <v>234</v>
      </c>
      <c r="I88" s="150" t="s">
        <v>136</v>
      </c>
      <c r="J88" s="151" t="s">
        <v>239</v>
      </c>
      <c r="K88" s="151" t="s">
        <v>241</v>
      </c>
      <c r="L88" s="150" t="s">
        <v>283</v>
      </c>
      <c r="M88" s="173">
        <v>0.63003999999999993</v>
      </c>
      <c r="N88" s="173">
        <v>0.51378000000000001</v>
      </c>
      <c r="O88" s="173">
        <v>7.7188166191457352E-2</v>
      </c>
      <c r="P88" s="173">
        <v>0.119359193194324</v>
      </c>
    </row>
    <row r="89" spans="1:16">
      <c r="A89" s="152">
        <v>88</v>
      </c>
      <c r="B89" s="150" t="s">
        <v>148</v>
      </c>
      <c r="C89" s="150">
        <v>5</v>
      </c>
      <c r="D89" s="150">
        <v>5</v>
      </c>
      <c r="E89" s="150" t="s">
        <v>231</v>
      </c>
      <c r="F89" s="150" t="s">
        <v>231</v>
      </c>
      <c r="G89" s="150">
        <v>56</v>
      </c>
      <c r="H89" s="150" t="s">
        <v>234</v>
      </c>
      <c r="I89" s="150" t="s">
        <v>136</v>
      </c>
      <c r="J89" s="151" t="s">
        <v>239</v>
      </c>
      <c r="K89" s="151" t="s">
        <v>241</v>
      </c>
      <c r="L89" s="150" t="s">
        <v>283</v>
      </c>
      <c r="M89" s="174">
        <v>3.09138</v>
      </c>
      <c r="N89" s="174">
        <v>3.0625599999999999</v>
      </c>
      <c r="O89" s="174">
        <v>0.1407672440591213</v>
      </c>
      <c r="P89" s="174">
        <v>6.0058954369851716E-2</v>
      </c>
    </row>
    <row r="90" spans="1:16">
      <c r="A90" s="152">
        <v>89</v>
      </c>
      <c r="B90" s="150" t="s">
        <v>148</v>
      </c>
      <c r="C90" s="150">
        <v>5</v>
      </c>
      <c r="D90" s="150">
        <v>5</v>
      </c>
      <c r="E90" s="150" t="s">
        <v>231</v>
      </c>
      <c r="F90" s="150" t="s">
        <v>231</v>
      </c>
      <c r="G90" s="150">
        <v>56</v>
      </c>
      <c r="H90" s="150" t="s">
        <v>234</v>
      </c>
      <c r="I90" s="150" t="s">
        <v>136</v>
      </c>
      <c r="J90" s="151" t="s">
        <v>239</v>
      </c>
      <c r="K90" s="151" t="s">
        <v>241</v>
      </c>
      <c r="L90" s="150" t="s">
        <v>283</v>
      </c>
      <c r="M90" s="174">
        <v>3.1581400000000004</v>
      </c>
      <c r="N90" s="174">
        <v>3.04514</v>
      </c>
      <c r="O90" s="174">
        <v>0.10936253014629585</v>
      </c>
      <c r="P90" s="174">
        <v>7.0479096191700952E-2</v>
      </c>
    </row>
    <row r="91" spans="1:16">
      <c r="A91" s="152">
        <v>90</v>
      </c>
      <c r="B91" s="150" t="s">
        <v>148</v>
      </c>
      <c r="C91" s="150">
        <v>5</v>
      </c>
      <c r="D91" s="150">
        <v>5</v>
      </c>
      <c r="E91" s="150" t="s">
        <v>231</v>
      </c>
      <c r="F91" s="150" t="s">
        <v>231</v>
      </c>
      <c r="G91" s="150">
        <v>56</v>
      </c>
      <c r="H91" s="150" t="s">
        <v>234</v>
      </c>
      <c r="I91" s="150" t="s">
        <v>136</v>
      </c>
      <c r="J91" s="151" t="s">
        <v>239</v>
      </c>
      <c r="K91" s="151" t="s">
        <v>241</v>
      </c>
      <c r="L91" s="150" t="s">
        <v>283</v>
      </c>
      <c r="M91" s="174">
        <v>3.0077199999999999</v>
      </c>
      <c r="N91" s="174">
        <v>3.0294999999999996</v>
      </c>
      <c r="O91" s="174">
        <v>0.12383873384365114</v>
      </c>
      <c r="P91" s="174">
        <v>5.249057058179573E-2</v>
      </c>
    </row>
    <row r="92" spans="1:16">
      <c r="A92" s="152">
        <v>91</v>
      </c>
      <c r="B92" s="150" t="s">
        <v>148</v>
      </c>
      <c r="C92" s="150">
        <v>5</v>
      </c>
      <c r="D92" s="150">
        <v>5</v>
      </c>
      <c r="E92" s="150" t="s">
        <v>231</v>
      </c>
      <c r="F92" s="150" t="s">
        <v>231</v>
      </c>
      <c r="G92" s="150">
        <v>56</v>
      </c>
      <c r="H92" s="150" t="s">
        <v>234</v>
      </c>
      <c r="I92" s="150" t="s">
        <v>136</v>
      </c>
      <c r="J92" s="151" t="s">
        <v>239</v>
      </c>
      <c r="K92" s="151" t="s">
        <v>241</v>
      </c>
      <c r="L92" s="150" t="s">
        <v>283</v>
      </c>
      <c r="M92" s="174">
        <v>3.1428199999999999</v>
      </c>
      <c r="N92" s="174">
        <v>3.1905200000000002</v>
      </c>
      <c r="O92" s="174">
        <v>5.9334071156472594E-2</v>
      </c>
      <c r="P92" s="174">
        <v>7.6339878176483661E-2</v>
      </c>
    </row>
    <row r="93" spans="1:16">
      <c r="A93" s="152">
        <v>92</v>
      </c>
      <c r="B93" s="150" t="s">
        <v>148</v>
      </c>
      <c r="C93" s="150">
        <v>5</v>
      </c>
      <c r="D93" s="150">
        <v>5</v>
      </c>
      <c r="E93" s="150" t="s">
        <v>231</v>
      </c>
      <c r="F93" s="150" t="s">
        <v>231</v>
      </c>
      <c r="G93" s="150">
        <v>56</v>
      </c>
      <c r="H93" s="150" t="s">
        <v>234</v>
      </c>
      <c r="I93" s="150" t="s">
        <v>136</v>
      </c>
      <c r="J93" s="151" t="s">
        <v>239</v>
      </c>
      <c r="K93" s="151" t="s">
        <v>241</v>
      </c>
      <c r="L93" s="150" t="s">
        <v>283</v>
      </c>
      <c r="M93" s="174">
        <v>2.7082799999999998</v>
      </c>
      <c r="N93" s="174">
        <v>2.9537199999999997</v>
      </c>
      <c r="O93" s="174">
        <v>0.10723001911778794</v>
      </c>
      <c r="P93" s="174">
        <v>0.12137037117847758</v>
      </c>
    </row>
    <row r="94" spans="1:16">
      <c r="A94" s="152">
        <v>93</v>
      </c>
      <c r="B94" s="150" t="s">
        <v>148</v>
      </c>
      <c r="C94" s="150">
        <v>5</v>
      </c>
      <c r="D94" s="150">
        <v>5</v>
      </c>
      <c r="E94" s="150" t="s">
        <v>231</v>
      </c>
      <c r="F94" s="150" t="s">
        <v>231</v>
      </c>
      <c r="G94" s="150">
        <v>56</v>
      </c>
      <c r="H94" s="150" t="s">
        <v>234</v>
      </c>
      <c r="I94" s="150" t="s">
        <v>136</v>
      </c>
      <c r="J94" s="151" t="s">
        <v>239</v>
      </c>
      <c r="K94" s="151" t="s">
        <v>241</v>
      </c>
      <c r="L94" s="150" t="s">
        <v>283</v>
      </c>
      <c r="M94" s="174">
        <v>3.10738</v>
      </c>
      <c r="N94" s="174">
        <v>3.0852400000000002</v>
      </c>
      <c r="O94" s="174">
        <v>0.19908390693373237</v>
      </c>
      <c r="P94" s="174">
        <v>8.0559189419938143E-2</v>
      </c>
    </row>
    <row r="95" spans="1:16">
      <c r="A95" s="152">
        <v>94</v>
      </c>
      <c r="B95" s="150" t="s">
        <v>149</v>
      </c>
      <c r="C95" s="150">
        <v>6</v>
      </c>
      <c r="D95" s="150">
        <v>6</v>
      </c>
      <c r="E95" s="150" t="s">
        <v>231</v>
      </c>
      <c r="F95" s="150" t="s">
        <v>231</v>
      </c>
      <c r="G95" s="150">
        <v>36</v>
      </c>
      <c r="H95" s="150" t="s">
        <v>234</v>
      </c>
      <c r="I95" s="150" t="s">
        <v>137</v>
      </c>
      <c r="J95" s="150" t="s">
        <v>132</v>
      </c>
      <c r="K95" s="150" t="s">
        <v>132</v>
      </c>
      <c r="L95" s="150" t="s">
        <v>283</v>
      </c>
      <c r="M95" s="150" t="s">
        <v>132</v>
      </c>
      <c r="N95" s="150" t="s">
        <v>132</v>
      </c>
      <c r="O95" s="150" t="s">
        <v>132</v>
      </c>
      <c r="P95" s="150" t="s">
        <v>132</v>
      </c>
    </row>
    <row r="96" spans="1:16">
      <c r="A96" s="152">
        <v>95</v>
      </c>
      <c r="B96" s="150" t="s">
        <v>150</v>
      </c>
      <c r="C96" s="150">
        <v>4</v>
      </c>
      <c r="D96" s="150">
        <v>4</v>
      </c>
      <c r="E96" s="150" t="s">
        <v>233</v>
      </c>
      <c r="F96" s="150" t="s">
        <v>229</v>
      </c>
      <c r="G96" s="150">
        <v>7</v>
      </c>
      <c r="H96" s="150" t="s">
        <v>235</v>
      </c>
      <c r="I96" s="150" t="s">
        <v>136</v>
      </c>
      <c r="J96" s="150" t="s">
        <v>132</v>
      </c>
      <c r="K96" s="150" t="s">
        <v>132</v>
      </c>
      <c r="L96" s="150" t="s">
        <v>132</v>
      </c>
      <c r="M96" s="150" t="s">
        <v>132</v>
      </c>
      <c r="N96" s="150" t="s">
        <v>132</v>
      </c>
      <c r="O96" s="150" t="s">
        <v>132</v>
      </c>
      <c r="P96" s="150" t="s">
        <v>132</v>
      </c>
    </row>
    <row r="97" spans="1:16">
      <c r="A97" s="152">
        <v>96</v>
      </c>
      <c r="B97" s="150" t="s">
        <v>150</v>
      </c>
      <c r="C97" s="150">
        <v>4</v>
      </c>
      <c r="D97" s="150">
        <v>4</v>
      </c>
      <c r="E97" s="150" t="s">
        <v>233</v>
      </c>
      <c r="F97" s="150" t="s">
        <v>228</v>
      </c>
      <c r="G97" s="150">
        <v>14</v>
      </c>
      <c r="H97" s="150" t="s">
        <v>235</v>
      </c>
      <c r="I97" s="150" t="s">
        <v>136</v>
      </c>
      <c r="J97" s="150" t="s">
        <v>132</v>
      </c>
      <c r="K97" s="150" t="s">
        <v>132</v>
      </c>
      <c r="L97" s="150" t="s">
        <v>132</v>
      </c>
      <c r="M97" s="150" t="s">
        <v>132</v>
      </c>
      <c r="N97" s="150" t="s">
        <v>132</v>
      </c>
      <c r="O97" s="150" t="s">
        <v>132</v>
      </c>
      <c r="P97" s="150" t="s">
        <v>132</v>
      </c>
    </row>
    <row r="98" spans="1:16">
      <c r="A98" s="152">
        <v>97</v>
      </c>
      <c r="B98" s="150" t="s">
        <v>150</v>
      </c>
      <c r="C98" s="150">
        <v>4</v>
      </c>
      <c r="D98" s="150">
        <v>4</v>
      </c>
      <c r="E98" s="150" t="s">
        <v>233</v>
      </c>
      <c r="F98" s="150" t="s">
        <v>230</v>
      </c>
      <c r="G98" s="150">
        <v>21</v>
      </c>
      <c r="H98" s="150" t="s">
        <v>235</v>
      </c>
      <c r="I98" s="150" t="s">
        <v>136</v>
      </c>
      <c r="J98" s="150" t="s">
        <v>132</v>
      </c>
      <c r="K98" s="150" t="s">
        <v>132</v>
      </c>
      <c r="L98" s="150" t="s">
        <v>132</v>
      </c>
      <c r="M98" s="150" t="s">
        <v>132</v>
      </c>
      <c r="N98" s="150" t="s">
        <v>132</v>
      </c>
      <c r="O98" s="150" t="s">
        <v>132</v>
      </c>
      <c r="P98" s="150" t="s">
        <v>132</v>
      </c>
    </row>
    <row r="99" spans="1:16">
      <c r="A99" s="152">
        <v>98</v>
      </c>
      <c r="B99" s="150" t="s">
        <v>151</v>
      </c>
      <c r="C99" s="150">
        <v>10</v>
      </c>
      <c r="D99" s="150">
        <v>10</v>
      </c>
      <c r="E99" s="150" t="s">
        <v>231</v>
      </c>
      <c r="F99" s="150" t="s">
        <v>231</v>
      </c>
      <c r="G99" s="150">
        <v>84</v>
      </c>
      <c r="H99" s="150" t="s">
        <v>235</v>
      </c>
      <c r="I99" s="150" t="s">
        <v>136</v>
      </c>
      <c r="J99" s="150" t="s">
        <v>132</v>
      </c>
      <c r="K99" s="150" t="s">
        <v>132</v>
      </c>
      <c r="L99" s="150" t="s">
        <v>132</v>
      </c>
      <c r="M99" s="150" t="s">
        <v>132</v>
      </c>
      <c r="N99" s="150" t="s">
        <v>132</v>
      </c>
      <c r="O99" s="150" t="s">
        <v>132</v>
      </c>
      <c r="P99" s="150" t="s">
        <v>132</v>
      </c>
    </row>
    <row r="100" spans="1:16">
      <c r="A100" s="152">
        <v>99</v>
      </c>
      <c r="B100" s="150" t="s">
        <v>152</v>
      </c>
      <c r="C100" s="150">
        <v>3</v>
      </c>
      <c r="D100" s="150">
        <v>4</v>
      </c>
      <c r="E100" s="150" t="s">
        <v>231</v>
      </c>
      <c r="F100" s="150" t="s">
        <v>231</v>
      </c>
      <c r="G100" s="150">
        <v>70</v>
      </c>
      <c r="H100" s="150" t="s">
        <v>235</v>
      </c>
      <c r="I100" s="150" t="s">
        <v>136</v>
      </c>
      <c r="J100" s="150" t="s">
        <v>132</v>
      </c>
      <c r="K100" s="150" t="s">
        <v>132</v>
      </c>
      <c r="L100" s="150" t="s">
        <v>132</v>
      </c>
      <c r="M100" s="150">
        <v>2.82</v>
      </c>
      <c r="N100" s="150">
        <v>3.29</v>
      </c>
      <c r="O100" s="150">
        <v>0.28199999999999997</v>
      </c>
      <c r="P100" s="150">
        <v>0.32900000000000001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0"/>
  <sheetViews>
    <sheetView topLeftCell="B1" workbookViewId="0">
      <selection activeCell="Q3" sqref="Q3:R3"/>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3.1640625" style="150" bestFit="1" customWidth="1"/>
    <col min="13" max="13" width="12.1640625" style="150" bestFit="1" customWidth="1"/>
    <col min="14" max="14" width="10.33203125" style="150" bestFit="1" customWidth="1"/>
    <col min="15" max="16" width="9.33203125" style="150" bestFit="1" customWidth="1"/>
  </cols>
  <sheetData>
    <row r="1" spans="1:18">
      <c r="A1" s="150" t="s">
        <v>112</v>
      </c>
      <c r="B1" s="150" t="s">
        <v>113</v>
      </c>
      <c r="C1" s="150" t="s">
        <v>114</v>
      </c>
      <c r="D1" s="150" t="s">
        <v>225</v>
      </c>
      <c r="E1" s="150" t="s">
        <v>232</v>
      </c>
      <c r="F1" s="150" t="s">
        <v>226</v>
      </c>
      <c r="G1" s="150" t="s">
        <v>236</v>
      </c>
      <c r="H1" s="150" t="s">
        <v>170</v>
      </c>
      <c r="I1" s="150" t="s">
        <v>237</v>
      </c>
      <c r="J1" s="150" t="s">
        <v>238</v>
      </c>
      <c r="K1" s="150" t="s">
        <v>286</v>
      </c>
      <c r="L1" s="150" t="s">
        <v>126</v>
      </c>
      <c r="M1" s="150" t="s">
        <v>127</v>
      </c>
      <c r="N1" s="150" t="s">
        <v>128</v>
      </c>
      <c r="O1" s="150" t="s">
        <v>129</v>
      </c>
      <c r="P1"/>
    </row>
    <row r="2" spans="1:18">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c r="Q2" s="150" t="s">
        <v>38</v>
      </c>
      <c r="R2" s="150" t="s">
        <v>35</v>
      </c>
    </row>
    <row r="3" spans="1:18">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c r="Q3" s="216">
        <f>AVERAGE(L4:L100)</f>
        <v>6.7479262496794208</v>
      </c>
      <c r="R3" s="216">
        <f>AVERAGE(M4:M100)</f>
        <v>9.3134690706349268</v>
      </c>
    </row>
    <row r="4" spans="1:18">
      <c r="A4" s="150" t="s">
        <v>120</v>
      </c>
      <c r="B4" s="150">
        <v>5</v>
      </c>
      <c r="C4" s="150">
        <v>5</v>
      </c>
      <c r="D4" s="150" t="s">
        <v>231</v>
      </c>
      <c r="E4" s="150" t="s">
        <v>231</v>
      </c>
      <c r="F4" s="150">
        <v>63</v>
      </c>
      <c r="G4" s="150" t="s">
        <v>234</v>
      </c>
      <c r="H4" s="150" t="s">
        <v>136</v>
      </c>
      <c r="I4" s="150" t="s">
        <v>239</v>
      </c>
      <c r="J4" s="150" t="s">
        <v>239</v>
      </c>
      <c r="K4" s="150" t="s">
        <v>284</v>
      </c>
      <c r="L4" s="155">
        <v>0.86434155825000003</v>
      </c>
      <c r="M4" s="155">
        <v>0.78273432080000005</v>
      </c>
      <c r="N4" s="155">
        <v>0.15862333540079929</v>
      </c>
      <c r="O4" s="155">
        <v>9.5204505168223971E-2</v>
      </c>
      <c r="P4"/>
    </row>
    <row r="5" spans="1:18">
      <c r="A5" s="150" t="s">
        <v>120</v>
      </c>
      <c r="B5" s="150">
        <v>5</v>
      </c>
      <c r="C5" s="150">
        <v>5</v>
      </c>
      <c r="D5" s="150" t="s">
        <v>231</v>
      </c>
      <c r="E5" s="150" t="s">
        <v>231</v>
      </c>
      <c r="F5" s="150">
        <v>63</v>
      </c>
      <c r="G5" s="150" t="s">
        <v>234</v>
      </c>
      <c r="H5" s="150" t="s">
        <v>136</v>
      </c>
      <c r="I5" s="150" t="s">
        <v>239</v>
      </c>
      <c r="J5" s="150" t="s">
        <v>239</v>
      </c>
      <c r="K5" s="150" t="s">
        <v>284</v>
      </c>
      <c r="L5" s="155">
        <v>0.54801023000000004</v>
      </c>
      <c r="M5" s="155">
        <v>0.81577300959999999</v>
      </c>
      <c r="N5" s="155">
        <v>0.26313457006184321</v>
      </c>
      <c r="O5" s="155">
        <v>6.367100937785003E-2</v>
      </c>
      <c r="P5"/>
    </row>
    <row r="6" spans="1:18">
      <c r="A6" s="150" t="s">
        <v>120</v>
      </c>
      <c r="B6" s="150">
        <v>5</v>
      </c>
      <c r="C6" s="150">
        <v>5</v>
      </c>
      <c r="D6" s="150" t="s">
        <v>231</v>
      </c>
      <c r="E6" s="150" t="s">
        <v>231</v>
      </c>
      <c r="F6" s="150">
        <v>63</v>
      </c>
      <c r="G6" s="150" t="s">
        <v>234</v>
      </c>
      <c r="H6" s="150" t="s">
        <v>136</v>
      </c>
      <c r="I6" s="150" t="s">
        <v>239</v>
      </c>
      <c r="J6" s="150" t="s">
        <v>239</v>
      </c>
      <c r="K6" s="150" t="s">
        <v>284</v>
      </c>
      <c r="L6" s="155">
        <v>0.67973574000000003</v>
      </c>
      <c r="M6" s="155">
        <v>0.90664086799999999</v>
      </c>
      <c r="N6" s="155">
        <v>0.23828031093167712</v>
      </c>
      <c r="O6" s="155">
        <v>0.19243845086507083</v>
      </c>
      <c r="P6"/>
    </row>
    <row r="7" spans="1:18">
      <c r="A7" s="150" t="s">
        <v>120</v>
      </c>
      <c r="B7" s="150">
        <v>5</v>
      </c>
      <c r="C7" s="150">
        <v>5</v>
      </c>
      <c r="D7" s="150" t="s">
        <v>231</v>
      </c>
      <c r="E7" s="150" t="s">
        <v>231</v>
      </c>
      <c r="F7" s="150">
        <v>63</v>
      </c>
      <c r="G7" s="150" t="s">
        <v>234</v>
      </c>
      <c r="H7" s="150" t="s">
        <v>136</v>
      </c>
      <c r="I7" s="150" t="s">
        <v>239</v>
      </c>
      <c r="J7" s="150" t="s">
        <v>239</v>
      </c>
      <c r="K7" s="150" t="s">
        <v>284</v>
      </c>
      <c r="L7" s="155">
        <v>3.1006999999999998</v>
      </c>
      <c r="M7" s="155">
        <v>3.0042200000000001</v>
      </c>
      <c r="N7" s="155">
        <v>0.69951194966163655</v>
      </c>
      <c r="O7" s="155">
        <v>0.82383914016415971</v>
      </c>
      <c r="P7"/>
    </row>
    <row r="8" spans="1:18">
      <c r="A8" s="150" t="s">
        <v>120</v>
      </c>
      <c r="B8" s="150">
        <v>5</v>
      </c>
      <c r="C8" s="150">
        <v>5</v>
      </c>
      <c r="D8" s="150" t="s">
        <v>231</v>
      </c>
      <c r="E8" s="150" t="s">
        <v>231</v>
      </c>
      <c r="F8" s="150">
        <v>63</v>
      </c>
      <c r="G8" s="150" t="s">
        <v>234</v>
      </c>
      <c r="H8" s="150" t="s">
        <v>136</v>
      </c>
      <c r="I8" s="150" t="s">
        <v>239</v>
      </c>
      <c r="J8" s="150" t="s">
        <v>239</v>
      </c>
      <c r="K8" s="150" t="s">
        <v>284</v>
      </c>
      <c r="L8" s="155">
        <v>3.4080400000000002</v>
      </c>
      <c r="M8" s="155">
        <v>3.0318800000000001</v>
      </c>
      <c r="N8" s="155">
        <v>0.72261135356827977</v>
      </c>
      <c r="O8" s="155">
        <v>0.53469827294155159</v>
      </c>
      <c r="P8"/>
    </row>
    <row r="9" spans="1:18">
      <c r="A9" s="150" t="s">
        <v>120</v>
      </c>
      <c r="B9" s="150">
        <v>5</v>
      </c>
      <c r="C9" s="150">
        <v>5</v>
      </c>
      <c r="D9" s="150" t="s">
        <v>231</v>
      </c>
      <c r="E9" s="150" t="s">
        <v>231</v>
      </c>
      <c r="F9" s="150">
        <v>63</v>
      </c>
      <c r="G9" s="150" t="s">
        <v>234</v>
      </c>
      <c r="H9" s="150" t="s">
        <v>136</v>
      </c>
      <c r="I9" s="150" t="s">
        <v>239</v>
      </c>
      <c r="J9" s="150" t="s">
        <v>239</v>
      </c>
      <c r="K9" s="150" t="s">
        <v>284</v>
      </c>
      <c r="L9" s="155">
        <v>3.6106600000000002</v>
      </c>
      <c r="M9" s="155">
        <v>2.8068200000000001</v>
      </c>
      <c r="N9" s="155">
        <v>0.60306326333917026</v>
      </c>
      <c r="O9" s="155">
        <v>0.48920106357232557</v>
      </c>
      <c r="P9"/>
    </row>
    <row r="10" spans="1:18">
      <c r="A10" s="150" t="s">
        <v>130</v>
      </c>
      <c r="B10" s="150">
        <v>6</v>
      </c>
      <c r="C10" s="150">
        <v>6</v>
      </c>
      <c r="D10" s="150" t="s">
        <v>231</v>
      </c>
      <c r="E10" s="150" t="s">
        <v>231</v>
      </c>
      <c r="F10" s="150">
        <v>63</v>
      </c>
      <c r="G10" s="150" t="s">
        <v>234</v>
      </c>
      <c r="H10" s="150" t="s">
        <v>136</v>
      </c>
      <c r="I10" s="150" t="s">
        <v>239</v>
      </c>
      <c r="J10" s="150" t="s">
        <v>239</v>
      </c>
      <c r="K10" s="150" t="s">
        <v>283</v>
      </c>
      <c r="L10" s="155">
        <v>6.0083333000000003E-2</v>
      </c>
      <c r="M10" s="155">
        <v>8.8833330000000002E-2</v>
      </c>
      <c r="N10" s="155">
        <v>5.0767264065482723E-2</v>
      </c>
      <c r="O10" s="155">
        <v>4.2503165404996032E-2</v>
      </c>
      <c r="P10"/>
    </row>
    <row r="11" spans="1:18">
      <c r="A11" s="150" t="s">
        <v>130</v>
      </c>
      <c r="B11" s="150">
        <v>6</v>
      </c>
      <c r="C11" s="150">
        <v>6</v>
      </c>
      <c r="D11" s="150" t="s">
        <v>231</v>
      </c>
      <c r="E11" s="150" t="s">
        <v>231</v>
      </c>
      <c r="F11" s="150">
        <v>63</v>
      </c>
      <c r="G11" s="150" t="s">
        <v>234</v>
      </c>
      <c r="H11" s="150" t="s">
        <v>136</v>
      </c>
      <c r="I11" s="150" t="s">
        <v>239</v>
      </c>
      <c r="J11" s="150" t="s">
        <v>239</v>
      </c>
      <c r="K11" s="150" t="s">
        <v>283</v>
      </c>
      <c r="L11" s="155">
        <v>0.26166666999999999</v>
      </c>
      <c r="M11" s="155">
        <v>0.53332999999999997</v>
      </c>
      <c r="N11" s="155">
        <v>4.3559808820108945E-2</v>
      </c>
      <c r="O11" s="155">
        <v>0.2767283164244515</v>
      </c>
      <c r="P11"/>
    </row>
    <row r="12" spans="1:18">
      <c r="A12" s="150" t="s">
        <v>130</v>
      </c>
      <c r="B12" s="150">
        <v>6</v>
      </c>
      <c r="C12" s="150">
        <v>6</v>
      </c>
      <c r="D12" s="150" t="s">
        <v>231</v>
      </c>
      <c r="E12" s="150" t="s">
        <v>231</v>
      </c>
      <c r="F12" s="150">
        <v>63</v>
      </c>
      <c r="G12" s="150" t="s">
        <v>234</v>
      </c>
      <c r="H12" s="150" t="s">
        <v>136</v>
      </c>
      <c r="I12" s="150" t="s">
        <v>239</v>
      </c>
      <c r="J12" s="150" t="s">
        <v>239</v>
      </c>
      <c r="K12" s="150" t="s">
        <v>283</v>
      </c>
      <c r="L12" s="155">
        <v>2.1349999999999998</v>
      </c>
      <c r="M12" s="155">
        <v>1.5</v>
      </c>
      <c r="N12" s="155">
        <v>0.78087384544496186</v>
      </c>
      <c r="O12" s="155">
        <v>0.75612043793741357</v>
      </c>
      <c r="P12"/>
    </row>
    <row r="13" spans="1:18">
      <c r="A13" s="150" t="s">
        <v>130</v>
      </c>
      <c r="B13" s="150">
        <v>6</v>
      </c>
      <c r="C13" s="150">
        <v>6</v>
      </c>
      <c r="D13" s="150" t="s">
        <v>231</v>
      </c>
      <c r="E13" s="150" t="s">
        <v>231</v>
      </c>
      <c r="F13" s="150">
        <v>63</v>
      </c>
      <c r="G13" s="150" t="s">
        <v>234</v>
      </c>
      <c r="H13" s="150" t="s">
        <v>136</v>
      </c>
      <c r="I13" s="150" t="s">
        <v>239</v>
      </c>
      <c r="J13" s="150" t="s">
        <v>240</v>
      </c>
      <c r="K13" s="150" t="s">
        <v>284</v>
      </c>
      <c r="L13" s="155">
        <v>0.53</v>
      </c>
      <c r="M13" s="155">
        <v>0.94333299999999998</v>
      </c>
      <c r="N13" s="155">
        <v>0.23337241339398554</v>
      </c>
      <c r="O13" s="155">
        <v>0.46775826496647288</v>
      </c>
      <c r="P13"/>
    </row>
    <row r="14" spans="1:18">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8">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8">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50" t="s">
        <v>132</v>
      </c>
      <c r="M21" s="150" t="s">
        <v>132</v>
      </c>
      <c r="N21" s="150" t="s">
        <v>132</v>
      </c>
      <c r="O21" s="150" t="s">
        <v>132</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50" t="s">
        <v>132</v>
      </c>
      <c r="M22" s="150" t="s">
        <v>132</v>
      </c>
      <c r="N22" s="150" t="s">
        <v>132</v>
      </c>
      <c r="O22" s="150" t="s">
        <v>132</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50" t="s">
        <v>132</v>
      </c>
      <c r="M23" s="150" t="s">
        <v>132</v>
      </c>
      <c r="N23" s="150" t="s">
        <v>132</v>
      </c>
      <c r="O23" s="150" t="s">
        <v>132</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50" t="s">
        <v>132</v>
      </c>
      <c r="M24" s="150" t="s">
        <v>132</v>
      </c>
      <c r="N24" s="150" t="s">
        <v>132</v>
      </c>
      <c r="O24" s="150" t="s">
        <v>132</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59">
        <v>0.706522700578467</v>
      </c>
      <c r="M25" s="159">
        <v>0.6704</v>
      </c>
      <c r="N25" s="159">
        <v>0.16455698265243759</v>
      </c>
      <c r="O25" s="150">
        <v>6.7040000000000002E-2</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50">
        <v>1.395</v>
      </c>
      <c r="M26" s="150">
        <v>1.147</v>
      </c>
      <c r="N26" s="150">
        <v>0.13950000000000001</v>
      </c>
      <c r="O26" s="150">
        <v>0.1147</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50">
        <v>1.8660000000000001</v>
      </c>
      <c r="M27" s="150">
        <v>1.0960000000000001</v>
      </c>
      <c r="N27" s="150">
        <v>0.18660000000000002</v>
      </c>
      <c r="O27" s="150">
        <v>0.1096</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50" t="s">
        <v>132</v>
      </c>
      <c r="M28" s="150" t="s">
        <v>132</v>
      </c>
      <c r="N28" s="150" t="s">
        <v>132</v>
      </c>
      <c r="O28" s="150" t="s">
        <v>132</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50" t="s">
        <v>132</v>
      </c>
      <c r="M29" s="150" t="s">
        <v>132</v>
      </c>
      <c r="N29" s="150" t="s">
        <v>132</v>
      </c>
      <c r="O29" s="150" t="s">
        <v>132</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50" t="s">
        <v>132</v>
      </c>
      <c r="M30" s="150" t="s">
        <v>132</v>
      </c>
      <c r="N30" s="150" t="s">
        <v>132</v>
      </c>
      <c r="O30" s="150" t="s">
        <v>132</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5">
        <v>0.15329999999999999</v>
      </c>
      <c r="M38" s="155">
        <v>0.1762</v>
      </c>
      <c r="N38" s="155">
        <v>7.4235200000000029E-2</v>
      </c>
      <c r="O38" s="155">
        <v>6.6856400000000024E-2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5">
        <v>0.42599999999999999</v>
      </c>
      <c r="M39" s="155">
        <v>0.67090000000000005</v>
      </c>
      <c r="N39" s="155">
        <v>0.22069320000000017</v>
      </c>
      <c r="O39" s="155">
        <v>0.12253279999999993</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v>68</v>
      </c>
      <c r="M58" s="150">
        <v>51</v>
      </c>
      <c r="N58" s="158">
        <v>14.693999999999999</v>
      </c>
      <c r="O58" s="158">
        <v>14.693999999999999</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v>63</v>
      </c>
      <c r="M59" s="150">
        <v>103</v>
      </c>
      <c r="N59" s="158">
        <v>46.530999999999999</v>
      </c>
      <c r="O59" s="158">
        <v>24.49</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v>86</v>
      </c>
      <c r="M60" s="150">
        <v>101</v>
      </c>
      <c r="N60" s="158">
        <v>12.244999999999999</v>
      </c>
      <c r="O60" s="158">
        <v>14.693999999999999</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v>60</v>
      </c>
      <c r="M61" s="150">
        <v>142</v>
      </c>
      <c r="N61" s="158">
        <v>22.040999999999997</v>
      </c>
      <c r="O61" s="158">
        <v>34.286000000000001</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59">
        <v>1.0679046129760278E-2</v>
      </c>
      <c r="M69" s="159">
        <v>5.3276517929664077E-2</v>
      </c>
      <c r="N69" s="159">
        <v>2.2003317839364408E-3</v>
      </c>
      <c r="O69" s="159">
        <v>8.5617051985326757E-3</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59">
        <v>0.5534553109892475</v>
      </c>
      <c r="M70" s="159">
        <v>0.51123484737708913</v>
      </c>
      <c r="N70" s="159">
        <v>6.1109231022604259E-2</v>
      </c>
      <c r="O70" s="159">
        <v>0.10662973640305562</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59">
        <v>0.5126975774054181</v>
      </c>
      <c r="M71" s="159">
        <v>0.42706834733794807</v>
      </c>
      <c r="N71" s="159">
        <v>6.0069217968959629E-2</v>
      </c>
      <c r="O71" s="159">
        <v>5.9623590061697089E-2</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59">
        <v>0.51962675058184049</v>
      </c>
      <c r="M72" s="159">
        <v>0.43934659937970427</v>
      </c>
      <c r="N72" s="159">
        <v>5.6377952496944175E-2</v>
      </c>
      <c r="O72" s="159">
        <v>8.5952227616165389E-2</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59">
        <v>0.54014325696080734</v>
      </c>
      <c r="M73" s="159">
        <v>0.47606597234569109</v>
      </c>
      <c r="N73" s="159">
        <v>5.5601885397797389E-2</v>
      </c>
      <c r="O73" s="159">
        <v>9.5587809631817316E-2</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59">
        <v>1.4289094369844471E-2</v>
      </c>
      <c r="M74" s="159">
        <v>2.7939934056092186E-2</v>
      </c>
      <c r="N74" s="159">
        <v>5.6659265834846156E-3</v>
      </c>
      <c r="O74" s="159">
        <v>9.4051315313033561E-3</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59">
        <v>0.65916338700764343</v>
      </c>
      <c r="M75" s="159">
        <v>0.43768103460576524</v>
      </c>
      <c r="N75" s="159">
        <v>2.5092267254106446E-2</v>
      </c>
      <c r="O75" s="159">
        <v>2.9382022865983543E-2</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59">
        <v>0.60004872431512268</v>
      </c>
      <c r="M76" s="159">
        <v>0.39030447316369049</v>
      </c>
      <c r="N76" s="159">
        <v>0.1322729005790306</v>
      </c>
      <c r="O76" s="159">
        <v>2.6594885303652494E-2</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59">
        <v>0.62480661840744456</v>
      </c>
      <c r="M77" s="159">
        <v>0.40845454128581471</v>
      </c>
      <c r="N77" s="159">
        <v>5.175741137637601E-2</v>
      </c>
      <c r="O77" s="159">
        <v>2.2943231859478396E-2</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59">
        <v>0.63754281190916684</v>
      </c>
      <c r="M78" s="159">
        <v>0.50483156991177647</v>
      </c>
      <c r="N78" s="159">
        <v>4.0722110275693335E-2</v>
      </c>
      <c r="O78" s="159">
        <v>3.2882568932695137E-2</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3">
        <v>0.11883766705932948</v>
      </c>
      <c r="M79" s="173">
        <v>0.30800728384058579</v>
      </c>
      <c r="N79" s="173">
        <v>1.9057775456514877E-2</v>
      </c>
      <c r="O79" s="173">
        <v>0.10684022636000665</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3">
        <v>0.13401439620227379</v>
      </c>
      <c r="M80" s="173">
        <v>0.22121909851065674</v>
      </c>
      <c r="N80" s="173">
        <v>2.9326046277523676E-2</v>
      </c>
      <c r="O80" s="173">
        <v>7.4683989395726749E-2</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3">
        <v>6.9011430672775514E-2</v>
      </c>
      <c r="M81" s="173">
        <v>7.9670084687386039E-2</v>
      </c>
      <c r="N81" s="173">
        <v>2.4834793428363536E-2</v>
      </c>
      <c r="O81" s="173">
        <v>2.5204676301416252E-2</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3">
        <v>4.9560551091874877E-2</v>
      </c>
      <c r="M82" s="173">
        <v>3.8714795881510944E-2</v>
      </c>
      <c r="N82" s="173">
        <v>9.1227843515806969E-3</v>
      </c>
      <c r="O82" s="173">
        <v>9.7494624979382917E-3</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3">
        <v>2.5509333333333328E-2</v>
      </c>
      <c r="M83" s="173">
        <v>2.1083112645868061E-2</v>
      </c>
      <c r="N83" s="173">
        <v>4.2089444440778128E-3</v>
      </c>
      <c r="O83" s="173">
        <v>5.4777548753919651E-3</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3">
        <v>0.66281088806086075</v>
      </c>
      <c r="M84" s="173">
        <v>0.64755009312987666</v>
      </c>
      <c r="N84" s="173">
        <v>9.1074929753859918E-2</v>
      </c>
      <c r="O84" s="173">
        <v>0.11684829293279052</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3">
        <v>0.48786478260687482</v>
      </c>
      <c r="M85" s="173">
        <v>0.58008736095515412</v>
      </c>
      <c r="N85" s="173">
        <v>0.19077604519391084</v>
      </c>
      <c r="O85" s="173">
        <v>4.182658162274288E-2</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3">
        <v>0.55699433435353052</v>
      </c>
      <c r="M86" s="173">
        <v>0.60757011159257812</v>
      </c>
      <c r="N86" s="173">
        <v>5.3504062850825186E-2</v>
      </c>
      <c r="O86" s="173">
        <v>7.3706841436394235E-2</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3">
        <v>0.48285779583968197</v>
      </c>
      <c r="M87" s="173">
        <v>0.55623667463310333</v>
      </c>
      <c r="N87" s="173">
        <v>6.8874000930096851E-2</v>
      </c>
      <c r="O87" s="173">
        <v>9.8493430900010059E-2</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3">
        <v>0.41277722632890795</v>
      </c>
      <c r="M88" s="173">
        <v>0.32555293828937387</v>
      </c>
      <c r="N88" s="173">
        <v>7.4103756641027155E-2</v>
      </c>
      <c r="O88" s="173">
        <v>6.73346270473347E-2</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5">
        <v>0.91129056052601132</v>
      </c>
      <c r="M89" s="175">
        <v>0.9318806768741259</v>
      </c>
      <c r="N89" s="175">
        <v>5.8552484332804612E-2</v>
      </c>
      <c r="O89" s="175">
        <v>6.590034871311283E-2</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5">
        <v>0.90892646604185434</v>
      </c>
      <c r="M90" s="175">
        <v>0.88853377164218728</v>
      </c>
      <c r="N90" s="175">
        <v>3.9823560004432691E-2</v>
      </c>
      <c r="O90" s="175">
        <v>2.7138107541796869E-2</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5">
        <v>0.92271196730071969</v>
      </c>
      <c r="M91" s="175">
        <v>0.95514202886525845</v>
      </c>
      <c r="N91" s="175">
        <v>8.2565190580887113E-2</v>
      </c>
      <c r="O91" s="175">
        <v>0.11646262689170711</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5">
        <v>0.93880015981116605</v>
      </c>
      <c r="M92" s="175">
        <v>0.92967959480654638</v>
      </c>
      <c r="N92" s="175">
        <v>3.3152601020293111E-2</v>
      </c>
      <c r="O92" s="175">
        <v>7.1653596095102509E-2</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5">
        <v>0.81463691359388624</v>
      </c>
      <c r="M93" s="175">
        <v>0.92330970668457835</v>
      </c>
      <c r="N93" s="175">
        <v>8.5826940640832003E-2</v>
      </c>
      <c r="O93" s="175">
        <v>2.6496615063424711E-2</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5">
        <v>0.91049020252559687</v>
      </c>
      <c r="M94" s="175">
        <v>0.97507155037482929</v>
      </c>
      <c r="N94" s="175">
        <v>4.434153731965583E-2</v>
      </c>
      <c r="O94" s="175">
        <v>4.7209309428363308E-2</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v>0.57999999999999996</v>
      </c>
      <c r="M100" s="150">
        <v>0.57999999999999996</v>
      </c>
      <c r="N100" s="150">
        <v>5.7999999999999996E-2</v>
      </c>
      <c r="O100" s="150">
        <v>5.7999999999999996E-2</v>
      </c>
      <c r="P100"/>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12"/>
  <sheetViews>
    <sheetView workbookViewId="0">
      <selection activeCell="G6" sqref="G6"/>
    </sheetView>
  </sheetViews>
  <sheetFormatPr baseColWidth="10" defaultRowHeight="16"/>
  <cols>
    <col min="1" max="1" width="15.6640625" style="150" customWidth="1"/>
    <col min="2" max="2" width="7.1640625" style="150" customWidth="1"/>
    <col min="3" max="3" width="8" style="150" customWidth="1"/>
    <col min="4" max="5" width="12" style="150" bestFit="1" customWidth="1"/>
    <col min="6" max="8" width="11.5" style="150" customWidth="1"/>
    <col min="9" max="9" width="11.5" style="152" customWidth="1"/>
    <col min="10" max="11" width="14.33203125" style="152" customWidth="1"/>
    <col min="12" max="12" width="11" style="150" bestFit="1" customWidth="1"/>
    <col min="13" max="13" width="10" style="150" bestFit="1" customWidth="1"/>
    <col min="14" max="14" width="12.83203125" style="150" bestFit="1" customWidth="1"/>
    <col min="15" max="16" width="11.83203125" style="150" bestFit="1" customWidth="1"/>
  </cols>
  <sheetData>
    <row r="1" spans="1:16">
      <c r="A1" s="150" t="s">
        <v>112</v>
      </c>
      <c r="B1" s="150" t="s">
        <v>113</v>
      </c>
      <c r="C1" s="150" t="s">
        <v>114</v>
      </c>
      <c r="D1" s="150" t="s">
        <v>225</v>
      </c>
      <c r="E1" s="150" t="s">
        <v>232</v>
      </c>
      <c r="F1" s="150" t="s">
        <v>226</v>
      </c>
      <c r="G1" s="150" t="s">
        <v>236</v>
      </c>
      <c r="H1" s="150" t="s">
        <v>170</v>
      </c>
      <c r="I1" s="150" t="s">
        <v>237</v>
      </c>
      <c r="J1" s="150" t="s">
        <v>238</v>
      </c>
      <c r="K1" s="150" t="s">
        <v>286</v>
      </c>
      <c r="L1" s="150" t="s">
        <v>154</v>
      </c>
      <c r="M1" s="150" t="s">
        <v>155</v>
      </c>
      <c r="N1" s="150" t="s">
        <v>156</v>
      </c>
      <c r="O1" s="150" t="s">
        <v>157</v>
      </c>
      <c r="P1"/>
    </row>
    <row r="2" spans="1:16">
      <c r="A2" s="150" t="s">
        <v>119</v>
      </c>
      <c r="B2" s="150">
        <v>3</v>
      </c>
      <c r="C2" s="150">
        <v>3</v>
      </c>
      <c r="D2" s="150" t="s">
        <v>233</v>
      </c>
      <c r="E2" s="150" t="s">
        <v>229</v>
      </c>
      <c r="F2" s="150">
        <v>42</v>
      </c>
      <c r="G2" s="150" t="s">
        <v>234</v>
      </c>
      <c r="H2" s="150" t="s">
        <v>136</v>
      </c>
      <c r="I2" s="150" t="s">
        <v>132</v>
      </c>
      <c r="J2" s="150" t="s">
        <v>132</v>
      </c>
      <c r="K2" s="150" t="s">
        <v>132</v>
      </c>
      <c r="L2" s="150" t="s">
        <v>132</v>
      </c>
      <c r="M2" s="150" t="s">
        <v>132</v>
      </c>
      <c r="N2" s="150" t="s">
        <v>132</v>
      </c>
      <c r="O2" s="150" t="s">
        <v>132</v>
      </c>
      <c r="P2"/>
    </row>
    <row r="3" spans="1:16">
      <c r="A3" s="150" t="s">
        <v>119</v>
      </c>
      <c r="B3" s="150">
        <v>3</v>
      </c>
      <c r="C3" s="150">
        <v>3</v>
      </c>
      <c r="D3" s="150" t="s">
        <v>233</v>
      </c>
      <c r="E3" s="150" t="s">
        <v>229</v>
      </c>
      <c r="F3" s="150">
        <v>42</v>
      </c>
      <c r="G3" s="150" t="s">
        <v>234</v>
      </c>
      <c r="H3" s="150" t="s">
        <v>136</v>
      </c>
      <c r="I3" s="150" t="s">
        <v>132</v>
      </c>
      <c r="J3" s="150" t="s">
        <v>132</v>
      </c>
      <c r="K3" s="150" t="s">
        <v>132</v>
      </c>
      <c r="L3" s="150" t="s">
        <v>132</v>
      </c>
      <c r="M3" s="150" t="s">
        <v>132</v>
      </c>
      <c r="N3" s="150" t="s">
        <v>132</v>
      </c>
      <c r="O3" s="150" t="s">
        <v>132</v>
      </c>
      <c r="P3"/>
    </row>
    <row r="4" spans="1:16">
      <c r="A4" s="150" t="s">
        <v>120</v>
      </c>
      <c r="B4" s="150">
        <v>5</v>
      </c>
      <c r="C4" s="150">
        <v>5</v>
      </c>
      <c r="D4" s="150" t="s">
        <v>231</v>
      </c>
      <c r="E4" s="150" t="s">
        <v>231</v>
      </c>
      <c r="F4" s="150">
        <v>63</v>
      </c>
      <c r="G4" s="150" t="s">
        <v>234</v>
      </c>
      <c r="H4" s="150" t="s">
        <v>136</v>
      </c>
      <c r="I4" s="150" t="s">
        <v>239</v>
      </c>
      <c r="J4" s="150" t="s">
        <v>239</v>
      </c>
      <c r="K4" s="150" t="s">
        <v>284</v>
      </c>
      <c r="L4" s="156">
        <v>1065.9197417944536</v>
      </c>
      <c r="M4" s="156">
        <v>1210.8669139967374</v>
      </c>
      <c r="N4" s="156">
        <v>81.462141564561222</v>
      </c>
      <c r="O4" s="156">
        <v>88.860050651751536</v>
      </c>
      <c r="P4"/>
    </row>
    <row r="5" spans="1:16">
      <c r="A5" s="150" t="s">
        <v>120</v>
      </c>
      <c r="B5" s="150">
        <v>5</v>
      </c>
      <c r="C5" s="150">
        <v>5</v>
      </c>
      <c r="D5" s="150" t="s">
        <v>231</v>
      </c>
      <c r="E5" s="150" t="s">
        <v>231</v>
      </c>
      <c r="F5" s="150">
        <v>63</v>
      </c>
      <c r="G5" s="150" t="s">
        <v>234</v>
      </c>
      <c r="H5" s="150" t="s">
        <v>136</v>
      </c>
      <c r="I5" s="150" t="s">
        <v>239</v>
      </c>
      <c r="J5" s="150" t="s">
        <v>239</v>
      </c>
      <c r="K5" s="150" t="s">
        <v>284</v>
      </c>
      <c r="L5" s="156">
        <v>1132.7079491680263</v>
      </c>
      <c r="M5" s="156">
        <v>1228.6939091027732</v>
      </c>
      <c r="N5" s="156">
        <v>94.659274065040691</v>
      </c>
      <c r="O5" s="156">
        <v>92.764239235175438</v>
      </c>
      <c r="P5"/>
    </row>
    <row r="6" spans="1:16">
      <c r="A6" s="150" t="s">
        <v>120</v>
      </c>
      <c r="B6" s="150">
        <v>5</v>
      </c>
      <c r="C6" s="150">
        <v>5</v>
      </c>
      <c r="D6" s="150" t="s">
        <v>231</v>
      </c>
      <c r="E6" s="150" t="s">
        <v>231</v>
      </c>
      <c r="F6" s="150">
        <v>63</v>
      </c>
      <c r="G6" s="150" t="s">
        <v>234</v>
      </c>
      <c r="H6" s="150" t="s">
        <v>136</v>
      </c>
      <c r="I6" s="150" t="s">
        <v>239</v>
      </c>
      <c r="J6" s="150" t="s">
        <v>239</v>
      </c>
      <c r="K6" s="150" t="s">
        <v>284</v>
      </c>
      <c r="L6" s="156">
        <v>1231.199393278956</v>
      </c>
      <c r="M6" s="156">
        <v>1269.0984123327896</v>
      </c>
      <c r="N6" s="156">
        <v>67.426804004853295</v>
      </c>
      <c r="O6" s="156">
        <v>94.803981345956672</v>
      </c>
      <c r="P6"/>
    </row>
    <row r="7" spans="1:16">
      <c r="A7" s="150" t="s">
        <v>120</v>
      </c>
      <c r="B7" s="150">
        <v>5</v>
      </c>
      <c r="C7" s="150">
        <v>5</v>
      </c>
      <c r="D7" s="150" t="s">
        <v>231</v>
      </c>
      <c r="E7" s="150" t="s">
        <v>231</v>
      </c>
      <c r="F7" s="150">
        <v>63</v>
      </c>
      <c r="G7" s="150" t="s">
        <v>234</v>
      </c>
      <c r="H7" s="150" t="s">
        <v>136</v>
      </c>
      <c r="I7" s="150" t="s">
        <v>239</v>
      </c>
      <c r="J7" s="150" t="s">
        <v>239</v>
      </c>
      <c r="K7" s="150" t="s">
        <v>284</v>
      </c>
      <c r="L7" s="156">
        <v>1318.0762953996737</v>
      </c>
      <c r="M7" s="156">
        <v>1317.1661436215334</v>
      </c>
      <c r="N7" s="156">
        <v>88.488036139232392</v>
      </c>
      <c r="O7" s="156">
        <v>72.378721976919934</v>
      </c>
      <c r="P7"/>
    </row>
    <row r="8" spans="1:16">
      <c r="A8" s="150" t="s">
        <v>120</v>
      </c>
      <c r="B8" s="150">
        <v>5</v>
      </c>
      <c r="C8" s="150">
        <v>5</v>
      </c>
      <c r="D8" s="150" t="s">
        <v>231</v>
      </c>
      <c r="E8" s="150" t="s">
        <v>231</v>
      </c>
      <c r="F8" s="150">
        <v>63</v>
      </c>
      <c r="G8" s="150" t="s">
        <v>234</v>
      </c>
      <c r="H8" s="150" t="s">
        <v>136</v>
      </c>
      <c r="I8" s="150" t="s">
        <v>239</v>
      </c>
      <c r="J8" s="150" t="s">
        <v>239</v>
      </c>
      <c r="K8" s="150" t="s">
        <v>284</v>
      </c>
      <c r="L8" s="156">
        <v>1262.7139432300162</v>
      </c>
      <c r="M8" s="156">
        <v>1348.2176522022842</v>
      </c>
      <c r="N8" s="156">
        <v>23.764878270685806</v>
      </c>
      <c r="O8" s="156">
        <v>91.614517928251402</v>
      </c>
      <c r="P8"/>
    </row>
    <row r="9" spans="1:16">
      <c r="A9" s="150" t="s">
        <v>120</v>
      </c>
      <c r="B9" s="150">
        <v>5</v>
      </c>
      <c r="C9" s="150">
        <v>5</v>
      </c>
      <c r="D9" s="150" t="s">
        <v>231</v>
      </c>
      <c r="E9" s="150" t="s">
        <v>231</v>
      </c>
      <c r="F9" s="150">
        <v>63</v>
      </c>
      <c r="G9" s="150" t="s">
        <v>234</v>
      </c>
      <c r="H9" s="150" t="s">
        <v>136</v>
      </c>
      <c r="I9" s="150" t="s">
        <v>239</v>
      </c>
      <c r="J9" s="150" t="s">
        <v>239</v>
      </c>
      <c r="K9" s="150" t="s">
        <v>284</v>
      </c>
      <c r="L9" s="156">
        <v>1303.6016209461663</v>
      </c>
      <c r="M9" s="156">
        <v>1288.8317759216966</v>
      </c>
      <c r="N9" s="156">
        <v>45.796468735849885</v>
      </c>
      <c r="O9" s="156">
        <v>80.089914765357406</v>
      </c>
      <c r="P9"/>
    </row>
    <row r="10" spans="1:16">
      <c r="A10" s="150" t="s">
        <v>130</v>
      </c>
      <c r="B10" s="150">
        <v>6</v>
      </c>
      <c r="C10" s="150">
        <v>6</v>
      </c>
      <c r="D10" s="150" t="s">
        <v>231</v>
      </c>
      <c r="E10" s="150" t="s">
        <v>231</v>
      </c>
      <c r="F10" s="150">
        <v>63</v>
      </c>
      <c r="G10" s="150" t="s">
        <v>234</v>
      </c>
      <c r="H10" s="150" t="s">
        <v>136</v>
      </c>
      <c r="I10" s="150" t="s">
        <v>239</v>
      </c>
      <c r="J10" s="150" t="s">
        <v>239</v>
      </c>
      <c r="K10" s="150" t="s">
        <v>283</v>
      </c>
      <c r="L10" s="150">
        <v>1008</v>
      </c>
      <c r="M10" s="150">
        <v>1552</v>
      </c>
      <c r="N10" s="156">
        <v>175.35527825278328</v>
      </c>
      <c r="O10" s="156">
        <v>178.18498892380893</v>
      </c>
      <c r="P10"/>
    </row>
    <row r="11" spans="1:16">
      <c r="A11" s="150" t="s">
        <v>130</v>
      </c>
      <c r="B11" s="150">
        <v>6</v>
      </c>
      <c r="C11" s="150">
        <v>6</v>
      </c>
      <c r="D11" s="150" t="s">
        <v>231</v>
      </c>
      <c r="E11" s="150" t="s">
        <v>231</v>
      </c>
      <c r="F11" s="150">
        <v>63</v>
      </c>
      <c r="G11" s="150" t="s">
        <v>234</v>
      </c>
      <c r="H11" s="150" t="s">
        <v>136</v>
      </c>
      <c r="I11" s="150" t="s">
        <v>239</v>
      </c>
      <c r="J11" s="150" t="s">
        <v>239</v>
      </c>
      <c r="K11" s="150" t="s">
        <v>283</v>
      </c>
      <c r="L11" s="150">
        <v>4717</v>
      </c>
      <c r="M11" s="150">
        <v>5867</v>
      </c>
      <c r="N11" s="156">
        <v>627.55931547897876</v>
      </c>
      <c r="O11" s="156">
        <v>937.56747905299017</v>
      </c>
      <c r="P11"/>
    </row>
    <row r="12" spans="1:16">
      <c r="A12" s="150" t="s">
        <v>130</v>
      </c>
      <c r="B12" s="150">
        <v>6</v>
      </c>
      <c r="C12" s="150">
        <v>6</v>
      </c>
      <c r="D12" s="150" t="s">
        <v>231</v>
      </c>
      <c r="E12" s="150" t="s">
        <v>231</v>
      </c>
      <c r="F12" s="150">
        <v>63</v>
      </c>
      <c r="G12" s="150" t="s">
        <v>234</v>
      </c>
      <c r="H12" s="150" t="s">
        <v>136</v>
      </c>
      <c r="I12" s="150" t="s">
        <v>239</v>
      </c>
      <c r="J12" s="150" t="s">
        <v>239</v>
      </c>
      <c r="K12" s="150" t="s">
        <v>283</v>
      </c>
      <c r="L12" s="150">
        <v>6250</v>
      </c>
      <c r="M12" s="150">
        <v>6100</v>
      </c>
      <c r="N12" s="156">
        <v>993.68568974298933</v>
      </c>
      <c r="O12" s="156">
        <v>1060.4095120911234</v>
      </c>
      <c r="P12"/>
    </row>
    <row r="13" spans="1:16">
      <c r="A13" s="150" t="s">
        <v>130</v>
      </c>
      <c r="B13" s="150">
        <v>6</v>
      </c>
      <c r="C13" s="150">
        <v>6</v>
      </c>
      <c r="D13" s="150" t="s">
        <v>231</v>
      </c>
      <c r="E13" s="150" t="s">
        <v>231</v>
      </c>
      <c r="F13" s="150">
        <v>63</v>
      </c>
      <c r="G13" s="150" t="s">
        <v>234</v>
      </c>
      <c r="H13" s="150" t="s">
        <v>136</v>
      </c>
      <c r="I13" s="150" t="s">
        <v>239</v>
      </c>
      <c r="J13" s="150" t="s">
        <v>240</v>
      </c>
      <c r="K13" s="150" t="s">
        <v>284</v>
      </c>
      <c r="L13" s="150">
        <v>4217</v>
      </c>
      <c r="M13" s="150">
        <v>3967</v>
      </c>
      <c r="N13" s="156">
        <v>1087.2713680483712</v>
      </c>
      <c r="O13" s="156">
        <v>338.69520877101917</v>
      </c>
      <c r="P13"/>
    </row>
    <row r="14" spans="1:16">
      <c r="A14" s="150" t="s">
        <v>131</v>
      </c>
      <c r="B14" s="150">
        <v>3</v>
      </c>
      <c r="C14" s="150">
        <v>3</v>
      </c>
      <c r="D14" s="150" t="s">
        <v>233</v>
      </c>
      <c r="E14" s="150" t="s">
        <v>228</v>
      </c>
      <c r="F14" s="150">
        <v>58</v>
      </c>
      <c r="G14" s="150" t="s">
        <v>234</v>
      </c>
      <c r="H14" s="150" t="s">
        <v>136</v>
      </c>
      <c r="I14" s="150" t="s">
        <v>132</v>
      </c>
      <c r="J14" s="150" t="s">
        <v>132</v>
      </c>
      <c r="K14" s="150" t="s">
        <v>284</v>
      </c>
      <c r="L14" s="150" t="s">
        <v>132</v>
      </c>
      <c r="M14" s="150" t="s">
        <v>132</v>
      </c>
      <c r="N14" s="150" t="s">
        <v>132</v>
      </c>
      <c r="O14" s="150" t="s">
        <v>132</v>
      </c>
      <c r="P14"/>
    </row>
    <row r="15" spans="1:16">
      <c r="A15" s="150" t="s">
        <v>131</v>
      </c>
      <c r="B15" s="150">
        <v>3</v>
      </c>
      <c r="C15" s="150">
        <v>3</v>
      </c>
      <c r="D15" s="150" t="s">
        <v>233</v>
      </c>
      <c r="E15" s="150" t="s">
        <v>229</v>
      </c>
      <c r="F15" s="150">
        <v>58</v>
      </c>
      <c r="G15" s="150" t="s">
        <v>234</v>
      </c>
      <c r="H15" s="150" t="s">
        <v>136</v>
      </c>
      <c r="I15" s="150" t="s">
        <v>132</v>
      </c>
      <c r="J15" s="150" t="s">
        <v>132</v>
      </c>
      <c r="K15" s="150" t="s">
        <v>284</v>
      </c>
      <c r="L15" s="150" t="s">
        <v>132</v>
      </c>
      <c r="M15" s="150" t="s">
        <v>132</v>
      </c>
      <c r="N15" s="150" t="s">
        <v>132</v>
      </c>
      <c r="O15" s="150" t="s">
        <v>132</v>
      </c>
      <c r="P15"/>
    </row>
    <row r="16" spans="1:16">
      <c r="A16" s="150" t="s">
        <v>131</v>
      </c>
      <c r="B16" s="150">
        <v>3</v>
      </c>
      <c r="C16" s="150">
        <v>3</v>
      </c>
      <c r="D16" s="150" t="s">
        <v>233</v>
      </c>
      <c r="E16" s="150" t="s">
        <v>229</v>
      </c>
      <c r="F16" s="150">
        <v>58</v>
      </c>
      <c r="G16" s="150" t="s">
        <v>234</v>
      </c>
      <c r="H16" s="150" t="s">
        <v>136</v>
      </c>
      <c r="I16" s="150" t="s">
        <v>132</v>
      </c>
      <c r="J16" s="150" t="s">
        <v>132</v>
      </c>
      <c r="K16" s="150" t="s">
        <v>284</v>
      </c>
      <c r="L16" s="150" t="s">
        <v>132</v>
      </c>
      <c r="M16" s="150" t="s">
        <v>132</v>
      </c>
      <c r="N16" s="150" t="s">
        <v>132</v>
      </c>
      <c r="O16" s="150" t="s">
        <v>132</v>
      </c>
      <c r="P16"/>
    </row>
    <row r="17" spans="1:16">
      <c r="A17" s="150" t="s">
        <v>131</v>
      </c>
      <c r="B17" s="150">
        <v>3</v>
      </c>
      <c r="C17" s="150">
        <v>3</v>
      </c>
      <c r="D17" s="150" t="s">
        <v>233</v>
      </c>
      <c r="E17" s="150" t="s">
        <v>229</v>
      </c>
      <c r="F17" s="150">
        <v>58</v>
      </c>
      <c r="G17" s="150" t="s">
        <v>234</v>
      </c>
      <c r="H17" s="150" t="s">
        <v>136</v>
      </c>
      <c r="I17" s="150" t="s">
        <v>132</v>
      </c>
      <c r="J17" s="150" t="s">
        <v>132</v>
      </c>
      <c r="K17" s="150" t="s">
        <v>283</v>
      </c>
      <c r="L17" s="150" t="s">
        <v>132</v>
      </c>
      <c r="M17" s="150" t="s">
        <v>132</v>
      </c>
      <c r="N17" s="150" t="s">
        <v>132</v>
      </c>
      <c r="O17" s="150" t="s">
        <v>132</v>
      </c>
      <c r="P17"/>
    </row>
    <row r="18" spans="1:16">
      <c r="A18" s="150" t="s">
        <v>131</v>
      </c>
      <c r="B18" s="150">
        <v>3</v>
      </c>
      <c r="C18" s="150">
        <v>3</v>
      </c>
      <c r="D18" s="150" t="s">
        <v>233</v>
      </c>
      <c r="E18" s="150" t="s">
        <v>229</v>
      </c>
      <c r="F18" s="150">
        <v>58</v>
      </c>
      <c r="G18" s="150" t="s">
        <v>234</v>
      </c>
      <c r="H18" s="150" t="s">
        <v>136</v>
      </c>
      <c r="I18" s="150" t="s">
        <v>132</v>
      </c>
      <c r="J18" s="150" t="s">
        <v>132</v>
      </c>
      <c r="K18" s="150" t="s">
        <v>283</v>
      </c>
      <c r="L18" s="150" t="s">
        <v>132</v>
      </c>
      <c r="M18" s="150" t="s">
        <v>132</v>
      </c>
      <c r="N18" s="150" t="s">
        <v>132</v>
      </c>
      <c r="O18" s="150" t="s">
        <v>132</v>
      </c>
      <c r="P18"/>
    </row>
    <row r="19" spans="1:16">
      <c r="A19" s="150" t="s">
        <v>131</v>
      </c>
      <c r="B19" s="150">
        <v>3</v>
      </c>
      <c r="C19" s="150">
        <v>3</v>
      </c>
      <c r="D19" s="150" t="s">
        <v>233</v>
      </c>
      <c r="E19" s="150" t="s">
        <v>230</v>
      </c>
      <c r="F19" s="150">
        <v>58</v>
      </c>
      <c r="G19" s="150" t="s">
        <v>234</v>
      </c>
      <c r="H19" s="150" t="s">
        <v>136</v>
      </c>
      <c r="I19" s="150" t="s">
        <v>132</v>
      </c>
      <c r="J19" s="150" t="s">
        <v>132</v>
      </c>
      <c r="K19" s="150" t="s">
        <v>284</v>
      </c>
      <c r="L19" s="150" t="s">
        <v>132</v>
      </c>
      <c r="M19" s="150" t="s">
        <v>132</v>
      </c>
      <c r="N19" s="150" t="s">
        <v>132</v>
      </c>
      <c r="O19" s="150" t="s">
        <v>132</v>
      </c>
      <c r="P19"/>
    </row>
    <row r="20" spans="1:16">
      <c r="A20" s="150" t="s">
        <v>153</v>
      </c>
      <c r="B20" s="150">
        <v>4</v>
      </c>
      <c r="C20" s="150">
        <v>4</v>
      </c>
      <c r="D20" s="150" t="s">
        <v>233</v>
      </c>
      <c r="E20" s="150" t="s">
        <v>229</v>
      </c>
      <c r="F20" s="150">
        <v>63</v>
      </c>
      <c r="G20" s="150" t="s">
        <v>234</v>
      </c>
      <c r="H20" s="150" t="s">
        <v>136</v>
      </c>
      <c r="I20" s="150" t="s">
        <v>240</v>
      </c>
      <c r="J20" s="150" t="s">
        <v>132</v>
      </c>
      <c r="K20" s="150" t="s">
        <v>284</v>
      </c>
      <c r="L20" s="150" t="s">
        <v>132</v>
      </c>
      <c r="M20" s="150" t="s">
        <v>132</v>
      </c>
      <c r="N20" s="150" t="s">
        <v>132</v>
      </c>
      <c r="O20" s="150" t="s">
        <v>132</v>
      </c>
      <c r="P20"/>
    </row>
    <row r="21" spans="1:16">
      <c r="A21" s="150" t="s">
        <v>133</v>
      </c>
      <c r="B21" s="150">
        <v>8</v>
      </c>
      <c r="C21" s="150">
        <v>8</v>
      </c>
      <c r="D21" s="150" t="s">
        <v>231</v>
      </c>
      <c r="E21" s="150" t="s">
        <v>231</v>
      </c>
      <c r="F21" s="150">
        <v>63</v>
      </c>
      <c r="G21" s="150" t="s">
        <v>234</v>
      </c>
      <c r="H21" s="150" t="s">
        <v>137</v>
      </c>
      <c r="I21" s="150" t="s">
        <v>240</v>
      </c>
      <c r="J21" s="151" t="s">
        <v>241</v>
      </c>
      <c r="K21" s="150" t="s">
        <v>284</v>
      </c>
      <c r="L21" s="152">
        <v>2368</v>
      </c>
      <c r="M21" s="152">
        <v>4084</v>
      </c>
      <c r="N21" s="152">
        <v>506</v>
      </c>
      <c r="O21" s="152">
        <v>470</v>
      </c>
      <c r="P21"/>
    </row>
    <row r="22" spans="1:16">
      <c r="A22" s="150" t="s">
        <v>133</v>
      </c>
      <c r="B22" s="150">
        <v>8</v>
      </c>
      <c r="C22" s="150">
        <v>8</v>
      </c>
      <c r="D22" s="150" t="s">
        <v>231</v>
      </c>
      <c r="E22" s="150" t="s">
        <v>231</v>
      </c>
      <c r="F22" s="150">
        <v>63</v>
      </c>
      <c r="G22" s="150" t="s">
        <v>234</v>
      </c>
      <c r="H22" s="150" t="s">
        <v>137</v>
      </c>
      <c r="I22" s="150" t="s">
        <v>239</v>
      </c>
      <c r="J22" s="151" t="s">
        <v>241</v>
      </c>
      <c r="K22" s="150" t="s">
        <v>284</v>
      </c>
      <c r="L22" s="152">
        <v>2162</v>
      </c>
      <c r="M22" s="152">
        <v>3876</v>
      </c>
      <c r="N22" s="152">
        <v>300</v>
      </c>
      <c r="O22" s="152">
        <v>354</v>
      </c>
      <c r="P22"/>
    </row>
    <row r="23" spans="1:16">
      <c r="A23" s="150" t="s">
        <v>133</v>
      </c>
      <c r="B23" s="150">
        <v>8</v>
      </c>
      <c r="C23" s="150">
        <v>8</v>
      </c>
      <c r="D23" s="150" t="s">
        <v>231</v>
      </c>
      <c r="E23" s="150" t="s">
        <v>231</v>
      </c>
      <c r="F23" s="150">
        <v>63</v>
      </c>
      <c r="G23" s="150" t="s">
        <v>234</v>
      </c>
      <c r="H23" s="150" t="s">
        <v>137</v>
      </c>
      <c r="I23" s="150" t="s">
        <v>240</v>
      </c>
      <c r="J23" s="151" t="s">
        <v>241</v>
      </c>
      <c r="K23" s="150" t="s">
        <v>284</v>
      </c>
      <c r="L23" s="152">
        <v>2054</v>
      </c>
      <c r="M23" s="152">
        <v>4118</v>
      </c>
      <c r="N23" s="152">
        <v>324</v>
      </c>
      <c r="O23" s="152">
        <v>362</v>
      </c>
      <c r="P23"/>
    </row>
    <row r="24" spans="1:16">
      <c r="A24" s="150" t="s">
        <v>133</v>
      </c>
      <c r="B24" s="150">
        <v>8</v>
      </c>
      <c r="C24" s="150">
        <v>8</v>
      </c>
      <c r="D24" s="150" t="s">
        <v>231</v>
      </c>
      <c r="E24" s="150" t="s">
        <v>231</v>
      </c>
      <c r="F24" s="150">
        <v>63</v>
      </c>
      <c r="G24" s="150" t="s">
        <v>234</v>
      </c>
      <c r="H24" s="150" t="s">
        <v>137</v>
      </c>
      <c r="I24" s="150" t="s">
        <v>239</v>
      </c>
      <c r="J24" s="151" t="s">
        <v>241</v>
      </c>
      <c r="K24" s="150" t="s">
        <v>284</v>
      </c>
      <c r="L24" s="152">
        <v>2151</v>
      </c>
      <c r="M24" s="152">
        <v>3163</v>
      </c>
      <c r="N24" s="152">
        <v>586</v>
      </c>
      <c r="O24" s="152">
        <v>398</v>
      </c>
      <c r="P24"/>
    </row>
    <row r="25" spans="1:16">
      <c r="A25" s="150" t="s">
        <v>134</v>
      </c>
      <c r="B25" s="150">
        <v>4</v>
      </c>
      <c r="C25" s="150">
        <v>4</v>
      </c>
      <c r="D25" s="150" t="s">
        <v>231</v>
      </c>
      <c r="E25" s="150" t="s">
        <v>231</v>
      </c>
      <c r="F25" s="150">
        <v>72</v>
      </c>
      <c r="G25" s="150" t="s">
        <v>235</v>
      </c>
      <c r="H25" s="150" t="s">
        <v>136</v>
      </c>
      <c r="I25" s="150" t="s">
        <v>240</v>
      </c>
      <c r="J25" s="151" t="s">
        <v>241</v>
      </c>
      <c r="K25" s="150" t="s">
        <v>284</v>
      </c>
      <c r="L25" s="160">
        <v>1302.160109561753</v>
      </c>
      <c r="M25" s="178">
        <v>3075.6</v>
      </c>
      <c r="N25" s="161">
        <v>195.96687645803701</v>
      </c>
      <c r="O25" s="156">
        <v>307.56</v>
      </c>
      <c r="P25"/>
    </row>
    <row r="26" spans="1:16">
      <c r="A26" s="150" t="s">
        <v>135</v>
      </c>
      <c r="B26" s="150">
        <v>6</v>
      </c>
      <c r="C26" s="150">
        <v>6</v>
      </c>
      <c r="D26" s="150" t="s">
        <v>231</v>
      </c>
      <c r="E26" s="150" t="s">
        <v>231</v>
      </c>
      <c r="F26" s="150">
        <v>79</v>
      </c>
      <c r="G26" s="150" t="s">
        <v>235</v>
      </c>
      <c r="H26" s="150" t="s">
        <v>136</v>
      </c>
      <c r="I26" s="150" t="s">
        <v>239</v>
      </c>
      <c r="J26" s="150" t="s">
        <v>240</v>
      </c>
      <c r="K26" s="150" t="s">
        <v>284</v>
      </c>
      <c r="L26" s="164">
        <v>5013.5029501666659</v>
      </c>
      <c r="M26" s="164">
        <v>5866.6504808333339</v>
      </c>
      <c r="N26" s="164">
        <v>196.66889590609051</v>
      </c>
      <c r="O26" s="164">
        <v>129.55230747623858</v>
      </c>
      <c r="P26"/>
    </row>
    <row r="27" spans="1:16">
      <c r="A27" s="150" t="s">
        <v>135</v>
      </c>
      <c r="B27" s="150">
        <v>6</v>
      </c>
      <c r="C27" s="150">
        <v>6</v>
      </c>
      <c r="D27" s="150" t="s">
        <v>231</v>
      </c>
      <c r="E27" s="150" t="s">
        <v>231</v>
      </c>
      <c r="F27" s="150">
        <v>79</v>
      </c>
      <c r="G27" s="150" t="s">
        <v>235</v>
      </c>
      <c r="H27" s="150" t="s">
        <v>136</v>
      </c>
      <c r="I27" s="150" t="s">
        <v>239</v>
      </c>
      <c r="J27" s="150" t="s">
        <v>240</v>
      </c>
      <c r="K27" s="150" t="s">
        <v>284</v>
      </c>
      <c r="L27" s="164">
        <v>5030.869842666666</v>
      </c>
      <c r="M27" s="164">
        <v>6152.8438160000005</v>
      </c>
      <c r="N27" s="164">
        <v>687.52121437402116</v>
      </c>
      <c r="O27" s="164">
        <v>453.32311973957053</v>
      </c>
      <c r="P27"/>
    </row>
    <row r="28" spans="1:16">
      <c r="A28" s="150" t="s">
        <v>138</v>
      </c>
      <c r="B28" s="150">
        <v>4</v>
      </c>
      <c r="C28" s="150">
        <v>4</v>
      </c>
      <c r="D28" s="150" t="s">
        <v>231</v>
      </c>
      <c r="E28" s="150" t="s">
        <v>231</v>
      </c>
      <c r="F28" s="150">
        <v>63</v>
      </c>
      <c r="G28" s="150" t="s">
        <v>235</v>
      </c>
      <c r="H28" s="150" t="s">
        <v>137</v>
      </c>
      <c r="I28" s="150" t="s">
        <v>132</v>
      </c>
      <c r="J28" s="150" t="s">
        <v>239</v>
      </c>
      <c r="K28" s="150" t="s">
        <v>285</v>
      </c>
      <c r="L28" s="167">
        <v>2421.5549881878187</v>
      </c>
      <c r="M28" s="167">
        <v>3769.7265927994858</v>
      </c>
      <c r="N28" s="158">
        <v>242.15549881878187</v>
      </c>
      <c r="O28" s="158">
        <v>376.97265927994857</v>
      </c>
      <c r="P28"/>
    </row>
    <row r="29" spans="1:16">
      <c r="A29" s="150" t="s">
        <v>138</v>
      </c>
      <c r="B29" s="150">
        <v>4</v>
      </c>
      <c r="C29" s="150">
        <v>4</v>
      </c>
      <c r="D29" s="150" t="s">
        <v>231</v>
      </c>
      <c r="E29" s="150" t="s">
        <v>231</v>
      </c>
      <c r="F29" s="150">
        <v>63</v>
      </c>
      <c r="G29" s="150" t="s">
        <v>235</v>
      </c>
      <c r="H29" s="150" t="s">
        <v>137</v>
      </c>
      <c r="I29" s="150" t="s">
        <v>132</v>
      </c>
      <c r="J29" s="150" t="s">
        <v>239</v>
      </c>
      <c r="K29" s="150" t="s">
        <v>285</v>
      </c>
      <c r="L29" s="167">
        <v>2379.4107465110674</v>
      </c>
      <c r="M29" s="167">
        <v>3626.7815750999571</v>
      </c>
      <c r="N29" s="158">
        <v>237.94107465110673</v>
      </c>
      <c r="O29" s="158">
        <v>362.67815750999569</v>
      </c>
      <c r="P29"/>
    </row>
    <row r="30" spans="1:16">
      <c r="A30" s="150" t="s">
        <v>139</v>
      </c>
      <c r="B30" s="150">
        <v>3</v>
      </c>
      <c r="C30" s="150">
        <v>3</v>
      </c>
      <c r="D30" s="150" t="s">
        <v>233</v>
      </c>
      <c r="E30" s="150" t="s">
        <v>228</v>
      </c>
      <c r="F30" s="150">
        <v>42</v>
      </c>
      <c r="G30" s="150" t="s">
        <v>234</v>
      </c>
      <c r="H30" s="150" t="s">
        <v>136</v>
      </c>
      <c r="I30" s="150" t="s">
        <v>132</v>
      </c>
      <c r="J30" s="150" t="s">
        <v>132</v>
      </c>
      <c r="K30" s="150" t="s">
        <v>283</v>
      </c>
      <c r="L30" s="160">
        <v>1400</v>
      </c>
      <c r="M30" s="160">
        <v>1400</v>
      </c>
      <c r="N30" s="160">
        <v>447.21999999999997</v>
      </c>
      <c r="O30" s="160">
        <v>223.60999999999999</v>
      </c>
      <c r="P30"/>
    </row>
    <row r="31" spans="1:16">
      <c r="A31" s="150" t="s">
        <v>139</v>
      </c>
      <c r="B31" s="150">
        <v>3</v>
      </c>
      <c r="C31" s="150">
        <v>3</v>
      </c>
      <c r="D31" s="150" t="s">
        <v>233</v>
      </c>
      <c r="E31" s="150" t="s">
        <v>229</v>
      </c>
      <c r="F31" s="150">
        <v>42</v>
      </c>
      <c r="G31" s="150" t="s">
        <v>234</v>
      </c>
      <c r="H31" s="150" t="s">
        <v>136</v>
      </c>
      <c r="I31" s="150" t="s">
        <v>132</v>
      </c>
      <c r="J31" s="150" t="s">
        <v>132</v>
      </c>
      <c r="K31" s="150" t="s">
        <v>283</v>
      </c>
      <c r="L31" s="150" t="s">
        <v>132</v>
      </c>
      <c r="M31" s="150" t="s">
        <v>132</v>
      </c>
      <c r="N31" s="150" t="s">
        <v>132</v>
      </c>
      <c r="O31" s="150" t="s">
        <v>132</v>
      </c>
      <c r="P31"/>
    </row>
    <row r="32" spans="1:16">
      <c r="A32" s="150" t="s">
        <v>139</v>
      </c>
      <c r="B32" s="150">
        <v>3</v>
      </c>
      <c r="C32" s="150">
        <v>3</v>
      </c>
      <c r="D32" s="150" t="s">
        <v>233</v>
      </c>
      <c r="E32" s="150" t="s">
        <v>229</v>
      </c>
      <c r="F32" s="150">
        <v>42</v>
      </c>
      <c r="G32" s="150" t="s">
        <v>234</v>
      </c>
      <c r="H32" s="150" t="s">
        <v>136</v>
      </c>
      <c r="I32" s="150" t="s">
        <v>132</v>
      </c>
      <c r="J32" s="150" t="s">
        <v>132</v>
      </c>
      <c r="K32" s="150" t="s">
        <v>283</v>
      </c>
      <c r="L32" s="150" t="s">
        <v>132</v>
      </c>
      <c r="M32" s="150" t="s">
        <v>132</v>
      </c>
      <c r="N32" s="150" t="s">
        <v>132</v>
      </c>
      <c r="O32" s="150" t="s">
        <v>132</v>
      </c>
      <c r="P32"/>
    </row>
    <row r="33" spans="1:16">
      <c r="A33" s="150" t="s">
        <v>140</v>
      </c>
      <c r="B33" s="150">
        <v>5</v>
      </c>
      <c r="C33" s="150">
        <v>5</v>
      </c>
      <c r="D33" s="150" t="s">
        <v>233</v>
      </c>
      <c r="E33" s="150" t="s">
        <v>229</v>
      </c>
      <c r="F33" s="150">
        <v>64</v>
      </c>
      <c r="G33" s="150" t="s">
        <v>234</v>
      </c>
      <c r="H33" s="150" t="s">
        <v>136</v>
      </c>
      <c r="I33" s="150" t="s">
        <v>240</v>
      </c>
      <c r="J33" s="150" t="s">
        <v>132</v>
      </c>
      <c r="K33" s="150" t="s">
        <v>284</v>
      </c>
      <c r="L33" s="150" t="s">
        <v>132</v>
      </c>
      <c r="M33" s="150" t="s">
        <v>132</v>
      </c>
      <c r="N33" s="150" t="s">
        <v>132</v>
      </c>
      <c r="O33" s="150" t="s">
        <v>132</v>
      </c>
      <c r="P33"/>
    </row>
    <row r="34" spans="1:16">
      <c r="A34" s="150" t="s">
        <v>140</v>
      </c>
      <c r="B34" s="150">
        <v>5</v>
      </c>
      <c r="C34" s="150">
        <v>5</v>
      </c>
      <c r="D34" s="150" t="s">
        <v>233</v>
      </c>
      <c r="E34" s="150" t="s">
        <v>229</v>
      </c>
      <c r="F34" s="150">
        <v>64</v>
      </c>
      <c r="G34" s="150" t="s">
        <v>234</v>
      </c>
      <c r="H34" s="150" t="s">
        <v>136</v>
      </c>
      <c r="I34" s="150" t="s">
        <v>240</v>
      </c>
      <c r="J34" s="150" t="s">
        <v>132</v>
      </c>
      <c r="K34" s="150" t="s">
        <v>284</v>
      </c>
      <c r="L34" s="150" t="s">
        <v>132</v>
      </c>
      <c r="M34" s="150" t="s">
        <v>132</v>
      </c>
      <c r="N34" s="150" t="s">
        <v>132</v>
      </c>
      <c r="O34" s="150" t="s">
        <v>132</v>
      </c>
      <c r="P34"/>
    </row>
    <row r="35" spans="1:16">
      <c r="A35" s="150" t="s">
        <v>140</v>
      </c>
      <c r="B35" s="150">
        <v>5</v>
      </c>
      <c r="C35" s="150">
        <v>5</v>
      </c>
      <c r="D35" s="150" t="s">
        <v>233</v>
      </c>
      <c r="E35" s="150" t="s">
        <v>230</v>
      </c>
      <c r="F35" s="150">
        <v>64</v>
      </c>
      <c r="G35" s="150" t="s">
        <v>234</v>
      </c>
      <c r="H35" s="150" t="s">
        <v>136</v>
      </c>
      <c r="I35" s="150" t="s">
        <v>240</v>
      </c>
      <c r="J35" s="150" t="s">
        <v>132</v>
      </c>
      <c r="K35" s="150" t="s">
        <v>284</v>
      </c>
      <c r="L35" s="150" t="s">
        <v>132</v>
      </c>
      <c r="M35" s="150" t="s">
        <v>132</v>
      </c>
      <c r="N35" s="150" t="s">
        <v>132</v>
      </c>
      <c r="O35" s="150" t="s">
        <v>132</v>
      </c>
      <c r="P35"/>
    </row>
    <row r="36" spans="1:16">
      <c r="A36" s="150" t="s">
        <v>140</v>
      </c>
      <c r="B36" s="150">
        <v>5</v>
      </c>
      <c r="C36" s="150">
        <v>5</v>
      </c>
      <c r="D36" s="150" t="s">
        <v>233</v>
      </c>
      <c r="E36" s="150" t="s">
        <v>229</v>
      </c>
      <c r="F36" s="150">
        <v>64</v>
      </c>
      <c r="G36" s="150" t="s">
        <v>234</v>
      </c>
      <c r="H36" s="150" t="s">
        <v>136</v>
      </c>
      <c r="I36" s="150" t="s">
        <v>240</v>
      </c>
      <c r="J36" s="150" t="s">
        <v>132</v>
      </c>
      <c r="K36" s="150" t="s">
        <v>283</v>
      </c>
      <c r="L36" s="150" t="s">
        <v>132</v>
      </c>
      <c r="M36" s="150" t="s">
        <v>132</v>
      </c>
      <c r="N36" s="150" t="s">
        <v>132</v>
      </c>
      <c r="O36" s="150" t="s">
        <v>132</v>
      </c>
      <c r="P36"/>
    </row>
    <row r="37" spans="1:16">
      <c r="A37" s="150" t="s">
        <v>140</v>
      </c>
      <c r="B37" s="150">
        <v>5</v>
      </c>
      <c r="C37" s="150">
        <v>5</v>
      </c>
      <c r="D37" s="150" t="s">
        <v>233</v>
      </c>
      <c r="E37" s="150" t="s">
        <v>229</v>
      </c>
      <c r="F37" s="150">
        <v>64</v>
      </c>
      <c r="G37" s="150" t="s">
        <v>234</v>
      </c>
      <c r="H37" s="150" t="s">
        <v>136</v>
      </c>
      <c r="I37" s="150" t="s">
        <v>240</v>
      </c>
      <c r="J37" s="150" t="s">
        <v>132</v>
      </c>
      <c r="K37" s="150" t="s">
        <v>283</v>
      </c>
      <c r="L37" s="150" t="s">
        <v>132</v>
      </c>
      <c r="M37" s="150" t="s">
        <v>132</v>
      </c>
      <c r="N37" s="150" t="s">
        <v>132</v>
      </c>
      <c r="O37" s="150" t="s">
        <v>132</v>
      </c>
      <c r="P37"/>
    </row>
    <row r="38" spans="1:16">
      <c r="A38" s="150" t="s">
        <v>141</v>
      </c>
      <c r="B38" s="150">
        <v>5</v>
      </c>
      <c r="C38" s="150">
        <v>5</v>
      </c>
      <c r="D38" s="150" t="s">
        <v>233</v>
      </c>
      <c r="E38" s="150" t="s">
        <v>229</v>
      </c>
      <c r="F38" s="150">
        <v>21</v>
      </c>
      <c r="G38" s="150" t="s">
        <v>234</v>
      </c>
      <c r="H38" s="150" t="s">
        <v>136</v>
      </c>
      <c r="I38" s="150" t="s">
        <v>132</v>
      </c>
      <c r="J38" s="150" t="s">
        <v>132</v>
      </c>
      <c r="K38" s="150" t="s">
        <v>283</v>
      </c>
      <c r="L38" s="150" t="s">
        <v>132</v>
      </c>
      <c r="M38" s="150" t="s">
        <v>132</v>
      </c>
      <c r="N38" s="150" t="s">
        <v>132</v>
      </c>
      <c r="O38" s="150" t="s">
        <v>132</v>
      </c>
      <c r="P38"/>
    </row>
    <row r="39" spans="1:16">
      <c r="A39" s="150" t="s">
        <v>141</v>
      </c>
      <c r="B39" s="150">
        <v>5</v>
      </c>
      <c r="C39" s="150">
        <v>5</v>
      </c>
      <c r="D39" s="150" t="s">
        <v>233</v>
      </c>
      <c r="E39" s="150" t="s">
        <v>229</v>
      </c>
      <c r="F39" s="150">
        <v>42</v>
      </c>
      <c r="G39" s="150" t="s">
        <v>234</v>
      </c>
      <c r="H39" s="150" t="s">
        <v>136</v>
      </c>
      <c r="I39" s="150" t="s">
        <v>132</v>
      </c>
      <c r="J39" s="150" t="s">
        <v>132</v>
      </c>
      <c r="K39" s="150" t="s">
        <v>283</v>
      </c>
      <c r="L39" s="150" t="s">
        <v>132</v>
      </c>
      <c r="M39" s="150" t="s">
        <v>132</v>
      </c>
      <c r="N39" s="150" t="s">
        <v>132</v>
      </c>
      <c r="O39" s="150" t="s">
        <v>132</v>
      </c>
      <c r="P39"/>
    </row>
    <row r="40" spans="1:16">
      <c r="A40" s="150" t="s">
        <v>142</v>
      </c>
      <c r="B40" s="150">
        <v>5</v>
      </c>
      <c r="C40" s="150">
        <v>5</v>
      </c>
      <c r="D40" s="150" t="s">
        <v>233</v>
      </c>
      <c r="E40" s="150" t="s">
        <v>228</v>
      </c>
      <c r="F40" s="150">
        <v>28</v>
      </c>
      <c r="G40" s="150" t="s">
        <v>234</v>
      </c>
      <c r="H40" s="150" t="s">
        <v>136</v>
      </c>
      <c r="I40" s="150" t="s">
        <v>132</v>
      </c>
      <c r="J40" s="150" t="s">
        <v>132</v>
      </c>
      <c r="K40" s="150" t="s">
        <v>284</v>
      </c>
      <c r="L40" s="150" t="s">
        <v>132</v>
      </c>
      <c r="M40" s="150" t="s">
        <v>132</v>
      </c>
      <c r="N40" s="150" t="s">
        <v>132</v>
      </c>
      <c r="O40" s="150" t="s">
        <v>132</v>
      </c>
      <c r="P40"/>
    </row>
    <row r="41" spans="1:16">
      <c r="A41" s="150" t="s">
        <v>142</v>
      </c>
      <c r="B41" s="150">
        <v>5</v>
      </c>
      <c r="C41" s="150">
        <v>5</v>
      </c>
      <c r="D41" s="150" t="s">
        <v>233</v>
      </c>
      <c r="E41" s="150" t="s">
        <v>228</v>
      </c>
      <c r="F41" s="150">
        <v>70</v>
      </c>
      <c r="G41" s="150" t="s">
        <v>235</v>
      </c>
      <c r="H41" s="150" t="s">
        <v>136</v>
      </c>
      <c r="I41" s="150" t="s">
        <v>132</v>
      </c>
      <c r="J41" s="150" t="s">
        <v>132</v>
      </c>
      <c r="K41" s="150" t="s">
        <v>284</v>
      </c>
      <c r="L41" s="150" t="s">
        <v>132</v>
      </c>
      <c r="M41" s="150" t="s">
        <v>132</v>
      </c>
      <c r="N41" s="150" t="s">
        <v>132</v>
      </c>
      <c r="O41" s="150" t="s">
        <v>132</v>
      </c>
      <c r="P41"/>
    </row>
    <row r="42" spans="1:16">
      <c r="A42" s="150" t="s">
        <v>142</v>
      </c>
      <c r="B42" s="150">
        <v>5</v>
      </c>
      <c r="C42" s="150">
        <v>5</v>
      </c>
      <c r="D42" s="150" t="s">
        <v>233</v>
      </c>
      <c r="E42" s="150" t="s">
        <v>228</v>
      </c>
      <c r="F42" s="150">
        <v>112</v>
      </c>
      <c r="G42" s="150" t="s">
        <v>235</v>
      </c>
      <c r="H42" s="150" t="s">
        <v>136</v>
      </c>
      <c r="I42" s="150" t="s">
        <v>132</v>
      </c>
      <c r="J42" s="150" t="s">
        <v>132</v>
      </c>
      <c r="K42" s="150" t="s">
        <v>284</v>
      </c>
      <c r="L42" s="150" t="s">
        <v>132</v>
      </c>
      <c r="M42" s="150" t="s">
        <v>132</v>
      </c>
      <c r="N42" s="150" t="s">
        <v>132</v>
      </c>
      <c r="O42" s="150" t="s">
        <v>132</v>
      </c>
      <c r="P42"/>
    </row>
    <row r="43" spans="1:16">
      <c r="A43" s="150" t="s">
        <v>142</v>
      </c>
      <c r="B43" s="150">
        <v>5</v>
      </c>
      <c r="C43" s="150">
        <v>5</v>
      </c>
      <c r="D43" s="150" t="s">
        <v>233</v>
      </c>
      <c r="E43" s="150" t="s">
        <v>228</v>
      </c>
      <c r="F43" s="150">
        <v>28</v>
      </c>
      <c r="G43" s="150" t="s">
        <v>234</v>
      </c>
      <c r="H43" s="150" t="s">
        <v>136</v>
      </c>
      <c r="I43" s="150" t="s">
        <v>132</v>
      </c>
      <c r="J43" s="150" t="s">
        <v>132</v>
      </c>
      <c r="K43" s="150" t="s">
        <v>284</v>
      </c>
      <c r="L43" s="150" t="s">
        <v>132</v>
      </c>
      <c r="M43" s="150" t="s">
        <v>132</v>
      </c>
      <c r="N43" s="150" t="s">
        <v>132</v>
      </c>
      <c r="O43" s="150" t="s">
        <v>132</v>
      </c>
      <c r="P43"/>
    </row>
    <row r="44" spans="1:16">
      <c r="A44" s="150" t="s">
        <v>142</v>
      </c>
      <c r="B44" s="150">
        <v>5</v>
      </c>
      <c r="C44" s="150">
        <v>5</v>
      </c>
      <c r="D44" s="150" t="s">
        <v>233</v>
      </c>
      <c r="E44" s="150" t="s">
        <v>228</v>
      </c>
      <c r="F44" s="150">
        <v>70</v>
      </c>
      <c r="G44" s="150" t="s">
        <v>235</v>
      </c>
      <c r="H44" s="150" t="s">
        <v>136</v>
      </c>
      <c r="I44" s="150" t="s">
        <v>132</v>
      </c>
      <c r="J44" s="150" t="s">
        <v>132</v>
      </c>
      <c r="K44" s="150" t="s">
        <v>284</v>
      </c>
      <c r="L44" s="150" t="s">
        <v>132</v>
      </c>
      <c r="M44" s="150" t="s">
        <v>132</v>
      </c>
      <c r="N44" s="150" t="s">
        <v>132</v>
      </c>
      <c r="O44" s="150" t="s">
        <v>132</v>
      </c>
      <c r="P44"/>
    </row>
    <row r="45" spans="1:16">
      <c r="A45" s="150" t="s">
        <v>142</v>
      </c>
      <c r="B45" s="150">
        <v>5</v>
      </c>
      <c r="C45" s="150">
        <v>5</v>
      </c>
      <c r="D45" s="150" t="s">
        <v>233</v>
      </c>
      <c r="E45" s="150" t="s">
        <v>228</v>
      </c>
      <c r="F45" s="150">
        <v>112</v>
      </c>
      <c r="G45" s="150" t="s">
        <v>235</v>
      </c>
      <c r="H45" s="150" t="s">
        <v>136</v>
      </c>
      <c r="I45" s="150" t="s">
        <v>132</v>
      </c>
      <c r="J45" s="150" t="s">
        <v>132</v>
      </c>
      <c r="K45" s="150" t="s">
        <v>284</v>
      </c>
      <c r="L45" s="150" t="s">
        <v>132</v>
      </c>
      <c r="M45" s="150" t="s">
        <v>132</v>
      </c>
      <c r="N45" s="150" t="s">
        <v>132</v>
      </c>
      <c r="O45" s="150" t="s">
        <v>132</v>
      </c>
      <c r="P45"/>
    </row>
    <row r="46" spans="1:16">
      <c r="A46" s="150" t="s">
        <v>142</v>
      </c>
      <c r="B46" s="150">
        <v>5</v>
      </c>
      <c r="C46" s="150">
        <v>5</v>
      </c>
      <c r="D46" s="150" t="s">
        <v>233</v>
      </c>
      <c r="E46" s="150" t="s">
        <v>229</v>
      </c>
      <c r="F46" s="150">
        <v>28</v>
      </c>
      <c r="G46" s="150" t="s">
        <v>234</v>
      </c>
      <c r="H46" s="150" t="s">
        <v>136</v>
      </c>
      <c r="I46" s="150" t="s">
        <v>132</v>
      </c>
      <c r="J46" s="150" t="s">
        <v>132</v>
      </c>
      <c r="K46" s="150" t="s">
        <v>284</v>
      </c>
      <c r="L46" s="150" t="s">
        <v>132</v>
      </c>
      <c r="M46" s="150" t="s">
        <v>132</v>
      </c>
      <c r="N46" s="150" t="s">
        <v>132</v>
      </c>
      <c r="O46" s="150" t="s">
        <v>132</v>
      </c>
      <c r="P46"/>
    </row>
    <row r="47" spans="1:16">
      <c r="A47" s="150" t="s">
        <v>142</v>
      </c>
      <c r="B47" s="150">
        <v>5</v>
      </c>
      <c r="C47" s="150">
        <v>5</v>
      </c>
      <c r="D47" s="150" t="s">
        <v>233</v>
      </c>
      <c r="E47" s="150" t="s">
        <v>229</v>
      </c>
      <c r="F47" s="150">
        <v>70</v>
      </c>
      <c r="G47" s="150" t="s">
        <v>235</v>
      </c>
      <c r="H47" s="150" t="s">
        <v>136</v>
      </c>
      <c r="I47" s="150" t="s">
        <v>132</v>
      </c>
      <c r="J47" s="150" t="s">
        <v>132</v>
      </c>
      <c r="K47" s="150" t="s">
        <v>284</v>
      </c>
      <c r="L47" s="150" t="s">
        <v>132</v>
      </c>
      <c r="M47" s="150" t="s">
        <v>132</v>
      </c>
      <c r="N47" s="150" t="s">
        <v>132</v>
      </c>
      <c r="O47" s="150" t="s">
        <v>132</v>
      </c>
      <c r="P47"/>
    </row>
    <row r="48" spans="1:16">
      <c r="A48" s="150" t="s">
        <v>142</v>
      </c>
      <c r="B48" s="150">
        <v>5</v>
      </c>
      <c r="C48" s="150">
        <v>5</v>
      </c>
      <c r="D48" s="150" t="s">
        <v>233</v>
      </c>
      <c r="E48" s="150" t="s">
        <v>229</v>
      </c>
      <c r="F48" s="150">
        <v>112</v>
      </c>
      <c r="G48" s="150" t="s">
        <v>235</v>
      </c>
      <c r="H48" s="150" t="s">
        <v>136</v>
      </c>
      <c r="I48" s="150" t="s">
        <v>132</v>
      </c>
      <c r="J48" s="150" t="s">
        <v>132</v>
      </c>
      <c r="K48" s="150" t="s">
        <v>284</v>
      </c>
      <c r="L48" s="150" t="s">
        <v>132</v>
      </c>
      <c r="M48" s="150" t="s">
        <v>132</v>
      </c>
      <c r="N48" s="150" t="s">
        <v>132</v>
      </c>
      <c r="O48" s="150" t="s">
        <v>132</v>
      </c>
      <c r="P48"/>
    </row>
    <row r="49" spans="1:16">
      <c r="A49" s="150" t="s">
        <v>142</v>
      </c>
      <c r="B49" s="150">
        <v>3</v>
      </c>
      <c r="C49" s="150">
        <v>3</v>
      </c>
      <c r="D49" s="150" t="s">
        <v>233</v>
      </c>
      <c r="E49" s="150" t="s">
        <v>229</v>
      </c>
      <c r="F49" s="150">
        <v>28</v>
      </c>
      <c r="G49" s="150" t="s">
        <v>234</v>
      </c>
      <c r="H49" s="150" t="s">
        <v>136</v>
      </c>
      <c r="I49" s="150" t="s">
        <v>132</v>
      </c>
      <c r="J49" s="150" t="s">
        <v>132</v>
      </c>
      <c r="K49" s="150" t="s">
        <v>283</v>
      </c>
      <c r="L49" s="150" t="s">
        <v>132</v>
      </c>
      <c r="M49" s="150" t="s">
        <v>132</v>
      </c>
      <c r="N49" s="150" t="s">
        <v>132</v>
      </c>
      <c r="O49" s="150" t="s">
        <v>132</v>
      </c>
      <c r="P49"/>
    </row>
    <row r="50" spans="1:16">
      <c r="A50" s="150" t="s">
        <v>142</v>
      </c>
      <c r="B50" s="150">
        <v>3</v>
      </c>
      <c r="C50" s="150">
        <v>3</v>
      </c>
      <c r="D50" s="150" t="s">
        <v>233</v>
      </c>
      <c r="E50" s="150" t="s">
        <v>229</v>
      </c>
      <c r="F50" s="150">
        <v>70</v>
      </c>
      <c r="G50" s="150" t="s">
        <v>235</v>
      </c>
      <c r="H50" s="150" t="s">
        <v>136</v>
      </c>
      <c r="I50" s="150" t="s">
        <v>132</v>
      </c>
      <c r="J50" s="150" t="s">
        <v>132</v>
      </c>
      <c r="K50" s="150" t="s">
        <v>283</v>
      </c>
      <c r="L50" s="150" t="s">
        <v>132</v>
      </c>
      <c r="M50" s="150" t="s">
        <v>132</v>
      </c>
      <c r="N50" s="150" t="s">
        <v>132</v>
      </c>
      <c r="O50" s="150" t="s">
        <v>132</v>
      </c>
      <c r="P50"/>
    </row>
    <row r="51" spans="1:16">
      <c r="A51" s="150" t="s">
        <v>142</v>
      </c>
      <c r="B51" s="150">
        <v>5</v>
      </c>
      <c r="C51" s="150">
        <v>5</v>
      </c>
      <c r="D51" s="150" t="s">
        <v>233</v>
      </c>
      <c r="E51" s="150" t="s">
        <v>229</v>
      </c>
      <c r="F51" s="150">
        <v>126</v>
      </c>
      <c r="G51" s="150" t="s">
        <v>235</v>
      </c>
      <c r="H51" s="150" t="s">
        <v>136</v>
      </c>
      <c r="I51" s="150" t="s">
        <v>132</v>
      </c>
      <c r="J51" s="150" t="s">
        <v>132</v>
      </c>
      <c r="K51" s="150" t="s">
        <v>283</v>
      </c>
      <c r="L51" s="150" t="s">
        <v>132</v>
      </c>
      <c r="M51" s="150" t="s">
        <v>132</v>
      </c>
      <c r="N51" s="150" t="s">
        <v>132</v>
      </c>
      <c r="O51" s="150" t="s">
        <v>132</v>
      </c>
      <c r="P51"/>
    </row>
    <row r="52" spans="1:16">
      <c r="A52" s="150" t="s">
        <v>142</v>
      </c>
      <c r="B52" s="150">
        <v>3</v>
      </c>
      <c r="C52" s="150">
        <v>3</v>
      </c>
      <c r="D52" s="150" t="s">
        <v>233</v>
      </c>
      <c r="E52" s="150" t="s">
        <v>228</v>
      </c>
      <c r="F52" s="150">
        <v>28</v>
      </c>
      <c r="G52" s="150" t="s">
        <v>234</v>
      </c>
      <c r="H52" s="150" t="s">
        <v>136</v>
      </c>
      <c r="I52" s="150" t="s">
        <v>132</v>
      </c>
      <c r="J52" s="150" t="s">
        <v>132</v>
      </c>
      <c r="K52" s="150" t="s">
        <v>284</v>
      </c>
      <c r="L52" s="150" t="s">
        <v>132</v>
      </c>
      <c r="M52" s="150" t="s">
        <v>132</v>
      </c>
      <c r="N52" s="150" t="s">
        <v>132</v>
      </c>
      <c r="O52" s="150" t="s">
        <v>132</v>
      </c>
      <c r="P52"/>
    </row>
    <row r="53" spans="1:16">
      <c r="A53" s="150" t="s">
        <v>142</v>
      </c>
      <c r="B53" s="150">
        <v>3</v>
      </c>
      <c r="C53" s="150">
        <v>3</v>
      </c>
      <c r="D53" s="150" t="s">
        <v>233</v>
      </c>
      <c r="E53" s="150" t="s">
        <v>228</v>
      </c>
      <c r="F53" s="150">
        <v>70</v>
      </c>
      <c r="G53" s="150" t="s">
        <v>235</v>
      </c>
      <c r="H53" s="150" t="s">
        <v>136</v>
      </c>
      <c r="I53" s="150" t="s">
        <v>132</v>
      </c>
      <c r="J53" s="150" t="s">
        <v>132</v>
      </c>
      <c r="K53" s="150" t="s">
        <v>284</v>
      </c>
      <c r="L53" s="150" t="s">
        <v>132</v>
      </c>
      <c r="M53" s="150" t="s">
        <v>132</v>
      </c>
      <c r="N53" s="150" t="s">
        <v>132</v>
      </c>
      <c r="O53" s="150" t="s">
        <v>132</v>
      </c>
      <c r="P53"/>
    </row>
    <row r="54" spans="1:16">
      <c r="A54" s="150" t="s">
        <v>142</v>
      </c>
      <c r="B54" s="150">
        <v>6</v>
      </c>
      <c r="C54" s="150">
        <v>6</v>
      </c>
      <c r="D54" s="150" t="s">
        <v>233</v>
      </c>
      <c r="E54" s="150" t="s">
        <v>228</v>
      </c>
      <c r="F54" s="150">
        <v>126</v>
      </c>
      <c r="G54" s="150" t="s">
        <v>235</v>
      </c>
      <c r="H54" s="150" t="s">
        <v>136</v>
      </c>
      <c r="I54" s="150" t="s">
        <v>132</v>
      </c>
      <c r="J54" s="150" t="s">
        <v>132</v>
      </c>
      <c r="K54" s="150" t="s">
        <v>284</v>
      </c>
      <c r="L54" s="150" t="s">
        <v>132</v>
      </c>
      <c r="M54" s="150" t="s">
        <v>132</v>
      </c>
      <c r="N54" s="150" t="s">
        <v>132</v>
      </c>
      <c r="O54" s="150" t="s">
        <v>132</v>
      </c>
      <c r="P54"/>
    </row>
    <row r="55" spans="1:16">
      <c r="A55" s="150" t="s">
        <v>142</v>
      </c>
      <c r="B55" s="150">
        <v>3</v>
      </c>
      <c r="C55" s="150">
        <v>3</v>
      </c>
      <c r="D55" s="150" t="s">
        <v>233</v>
      </c>
      <c r="E55" s="150" t="s">
        <v>230</v>
      </c>
      <c r="F55" s="150">
        <v>28</v>
      </c>
      <c r="G55" s="150" t="s">
        <v>234</v>
      </c>
      <c r="H55" s="150" t="s">
        <v>136</v>
      </c>
      <c r="I55" s="150" t="s">
        <v>132</v>
      </c>
      <c r="J55" s="150" t="s">
        <v>132</v>
      </c>
      <c r="K55" s="150" t="s">
        <v>284</v>
      </c>
      <c r="L55" s="150" t="s">
        <v>132</v>
      </c>
      <c r="M55" s="150" t="s">
        <v>132</v>
      </c>
      <c r="N55" s="150" t="s">
        <v>132</v>
      </c>
      <c r="O55" s="150" t="s">
        <v>132</v>
      </c>
      <c r="P55"/>
    </row>
    <row r="56" spans="1:16">
      <c r="A56" s="150" t="s">
        <v>142</v>
      </c>
      <c r="B56" s="150">
        <v>3</v>
      </c>
      <c r="C56" s="150">
        <v>3</v>
      </c>
      <c r="D56" s="150" t="s">
        <v>233</v>
      </c>
      <c r="E56" s="150" t="s">
        <v>230</v>
      </c>
      <c r="F56" s="150">
        <v>70</v>
      </c>
      <c r="G56" s="150" t="s">
        <v>235</v>
      </c>
      <c r="H56" s="150" t="s">
        <v>136</v>
      </c>
      <c r="I56" s="150" t="s">
        <v>132</v>
      </c>
      <c r="J56" s="150" t="s">
        <v>132</v>
      </c>
      <c r="K56" s="150" t="s">
        <v>284</v>
      </c>
      <c r="L56" s="150" t="s">
        <v>132</v>
      </c>
      <c r="M56" s="150" t="s">
        <v>132</v>
      </c>
      <c r="N56" s="150" t="s">
        <v>132</v>
      </c>
      <c r="O56" s="150" t="s">
        <v>132</v>
      </c>
      <c r="P56"/>
    </row>
    <row r="57" spans="1:16">
      <c r="A57" s="150" t="s">
        <v>142</v>
      </c>
      <c r="B57" s="150">
        <v>6</v>
      </c>
      <c r="C57" s="150">
        <v>6</v>
      </c>
      <c r="D57" s="150" t="s">
        <v>233</v>
      </c>
      <c r="E57" s="150" t="s">
        <v>230</v>
      </c>
      <c r="F57" s="150">
        <v>126</v>
      </c>
      <c r="G57" s="150" t="s">
        <v>235</v>
      </c>
      <c r="H57" s="150" t="s">
        <v>136</v>
      </c>
      <c r="I57" s="150" t="s">
        <v>132</v>
      </c>
      <c r="J57" s="150" t="s">
        <v>132</v>
      </c>
      <c r="K57" s="150" t="s">
        <v>284</v>
      </c>
      <c r="L57" s="150" t="s">
        <v>132</v>
      </c>
      <c r="M57" s="150" t="s">
        <v>132</v>
      </c>
      <c r="N57" s="150" t="s">
        <v>132</v>
      </c>
      <c r="O57" s="150" t="s">
        <v>132</v>
      </c>
      <c r="P57"/>
    </row>
    <row r="58" spans="1:16">
      <c r="A58" s="150" t="s">
        <v>143</v>
      </c>
      <c r="B58" s="150">
        <v>6</v>
      </c>
      <c r="C58" s="150">
        <v>6</v>
      </c>
      <c r="D58" s="150" t="s">
        <v>233</v>
      </c>
      <c r="E58" s="150" t="s">
        <v>228</v>
      </c>
      <c r="F58" s="150">
        <v>56</v>
      </c>
      <c r="G58" s="150" t="s">
        <v>234</v>
      </c>
      <c r="H58" s="150" t="s">
        <v>136</v>
      </c>
      <c r="I58" s="150" t="s">
        <v>132</v>
      </c>
      <c r="J58" s="150" t="s">
        <v>132</v>
      </c>
      <c r="K58" s="150" t="s">
        <v>285</v>
      </c>
      <c r="L58" s="150" t="s">
        <v>132</v>
      </c>
      <c r="M58" s="150" t="s">
        <v>132</v>
      </c>
      <c r="N58" s="150" t="s">
        <v>132</v>
      </c>
      <c r="O58" s="150" t="s">
        <v>132</v>
      </c>
      <c r="P58"/>
    </row>
    <row r="59" spans="1:16">
      <c r="A59" s="150" t="s">
        <v>143</v>
      </c>
      <c r="B59" s="150">
        <v>6</v>
      </c>
      <c r="C59" s="150">
        <v>6</v>
      </c>
      <c r="D59" s="150" t="s">
        <v>233</v>
      </c>
      <c r="E59" s="150" t="s">
        <v>230</v>
      </c>
      <c r="F59" s="150">
        <v>56</v>
      </c>
      <c r="G59" s="150" t="s">
        <v>234</v>
      </c>
      <c r="H59" s="150" t="s">
        <v>136</v>
      </c>
      <c r="I59" s="150" t="s">
        <v>132</v>
      </c>
      <c r="J59" s="150" t="s">
        <v>132</v>
      </c>
      <c r="K59" s="150" t="s">
        <v>285</v>
      </c>
      <c r="L59" s="150" t="s">
        <v>132</v>
      </c>
      <c r="M59" s="150" t="s">
        <v>132</v>
      </c>
      <c r="N59" s="150" t="s">
        <v>132</v>
      </c>
      <c r="O59" s="150" t="s">
        <v>132</v>
      </c>
      <c r="P59"/>
    </row>
    <row r="60" spans="1:16">
      <c r="A60" s="150" t="s">
        <v>143</v>
      </c>
      <c r="B60" s="150">
        <v>6</v>
      </c>
      <c r="C60" s="150">
        <v>6</v>
      </c>
      <c r="D60" s="150" t="s">
        <v>233</v>
      </c>
      <c r="E60" s="150" t="s">
        <v>228</v>
      </c>
      <c r="F60" s="150">
        <v>56</v>
      </c>
      <c r="G60" s="150" t="s">
        <v>234</v>
      </c>
      <c r="H60" s="150" t="s">
        <v>136</v>
      </c>
      <c r="I60" s="150" t="s">
        <v>132</v>
      </c>
      <c r="J60" s="150" t="s">
        <v>132</v>
      </c>
      <c r="K60" s="150" t="s">
        <v>285</v>
      </c>
      <c r="L60" s="150" t="s">
        <v>132</v>
      </c>
      <c r="M60" s="150" t="s">
        <v>132</v>
      </c>
      <c r="N60" s="150" t="s">
        <v>132</v>
      </c>
      <c r="O60" s="150" t="s">
        <v>132</v>
      </c>
      <c r="P60"/>
    </row>
    <row r="61" spans="1:16">
      <c r="A61" s="150" t="s">
        <v>143</v>
      </c>
      <c r="B61" s="150">
        <v>6</v>
      </c>
      <c r="C61" s="150">
        <v>6</v>
      </c>
      <c r="D61" s="150" t="s">
        <v>233</v>
      </c>
      <c r="E61" s="150" t="s">
        <v>230</v>
      </c>
      <c r="F61" s="150">
        <v>56</v>
      </c>
      <c r="G61" s="150" t="s">
        <v>234</v>
      </c>
      <c r="H61" s="150" t="s">
        <v>136</v>
      </c>
      <c r="I61" s="150" t="s">
        <v>132</v>
      </c>
      <c r="J61" s="150" t="s">
        <v>132</v>
      </c>
      <c r="K61" s="150" t="s">
        <v>285</v>
      </c>
      <c r="L61" s="150" t="s">
        <v>132</v>
      </c>
      <c r="M61" s="150" t="s">
        <v>132</v>
      </c>
      <c r="N61" s="150" t="s">
        <v>132</v>
      </c>
      <c r="O61" s="150" t="s">
        <v>132</v>
      </c>
      <c r="P61"/>
    </row>
    <row r="62" spans="1:16">
      <c r="A62" s="150" t="s">
        <v>144</v>
      </c>
      <c r="B62" s="150">
        <v>3</v>
      </c>
      <c r="C62" s="150">
        <v>3</v>
      </c>
      <c r="D62" s="150" t="s">
        <v>233</v>
      </c>
      <c r="E62" s="150" t="s">
        <v>229</v>
      </c>
      <c r="F62" s="150">
        <v>56</v>
      </c>
      <c r="G62" s="150" t="s">
        <v>234</v>
      </c>
      <c r="H62" s="150" t="s">
        <v>136</v>
      </c>
      <c r="I62" s="150" t="s">
        <v>132</v>
      </c>
      <c r="J62" s="150" t="s">
        <v>132</v>
      </c>
      <c r="K62" s="150" t="s">
        <v>132</v>
      </c>
      <c r="L62" s="150" t="s">
        <v>132</v>
      </c>
      <c r="M62" s="150" t="s">
        <v>132</v>
      </c>
      <c r="N62" s="150" t="s">
        <v>132</v>
      </c>
      <c r="O62" s="150" t="s">
        <v>132</v>
      </c>
      <c r="P62"/>
    </row>
    <row r="63" spans="1:16">
      <c r="A63" s="150" t="s">
        <v>144</v>
      </c>
      <c r="B63" s="150">
        <v>3</v>
      </c>
      <c r="C63" s="150">
        <v>3</v>
      </c>
      <c r="D63" s="150" t="s">
        <v>233</v>
      </c>
      <c r="E63" s="150" t="s">
        <v>230</v>
      </c>
      <c r="F63" s="150">
        <v>56</v>
      </c>
      <c r="G63" s="150" t="s">
        <v>234</v>
      </c>
      <c r="H63" s="150" t="s">
        <v>136</v>
      </c>
      <c r="I63" s="150" t="s">
        <v>132</v>
      </c>
      <c r="J63" s="150" t="s">
        <v>132</v>
      </c>
      <c r="K63" s="150" t="s">
        <v>132</v>
      </c>
      <c r="L63" s="150" t="s">
        <v>132</v>
      </c>
      <c r="M63" s="150" t="s">
        <v>132</v>
      </c>
      <c r="N63" s="150" t="s">
        <v>132</v>
      </c>
      <c r="O63" s="150" t="s">
        <v>132</v>
      </c>
      <c r="P63"/>
    </row>
    <row r="64" spans="1:16">
      <c r="A64" s="150" t="s">
        <v>144</v>
      </c>
      <c r="B64" s="150">
        <v>3</v>
      </c>
      <c r="C64" s="150">
        <v>3</v>
      </c>
      <c r="D64" s="150" t="s">
        <v>233</v>
      </c>
      <c r="E64" s="150" t="s">
        <v>228</v>
      </c>
      <c r="F64" s="150">
        <v>56</v>
      </c>
      <c r="G64" s="150" t="s">
        <v>234</v>
      </c>
      <c r="H64" s="150" t="s">
        <v>136</v>
      </c>
      <c r="I64" s="150" t="s">
        <v>132</v>
      </c>
      <c r="J64" s="150" t="s">
        <v>132</v>
      </c>
      <c r="K64" s="150" t="s">
        <v>132</v>
      </c>
      <c r="L64" s="150" t="s">
        <v>132</v>
      </c>
      <c r="M64" s="150" t="s">
        <v>132</v>
      </c>
      <c r="N64" s="150" t="s">
        <v>132</v>
      </c>
      <c r="O64" s="150" t="s">
        <v>132</v>
      </c>
      <c r="P64"/>
    </row>
    <row r="65" spans="1:16">
      <c r="A65" s="150" t="s">
        <v>144</v>
      </c>
      <c r="B65" s="150">
        <v>4</v>
      </c>
      <c r="C65" s="150">
        <v>4</v>
      </c>
      <c r="D65" s="150" t="s">
        <v>233</v>
      </c>
      <c r="E65" s="150" t="s">
        <v>229</v>
      </c>
      <c r="F65" s="150">
        <v>56</v>
      </c>
      <c r="G65" s="150" t="s">
        <v>234</v>
      </c>
      <c r="H65" s="150" t="s">
        <v>136</v>
      </c>
      <c r="I65" s="150" t="s">
        <v>132</v>
      </c>
      <c r="J65" s="150" t="s">
        <v>132</v>
      </c>
      <c r="K65" s="150" t="s">
        <v>132</v>
      </c>
      <c r="L65" s="150" t="s">
        <v>132</v>
      </c>
      <c r="M65" s="150" t="s">
        <v>132</v>
      </c>
      <c r="N65" s="150" t="s">
        <v>132</v>
      </c>
      <c r="O65" s="150" t="s">
        <v>132</v>
      </c>
      <c r="P65"/>
    </row>
    <row r="66" spans="1:16">
      <c r="A66" s="150" t="s">
        <v>144</v>
      </c>
      <c r="B66" s="150">
        <v>4</v>
      </c>
      <c r="C66" s="150">
        <v>4</v>
      </c>
      <c r="D66" s="150" t="s">
        <v>233</v>
      </c>
      <c r="E66" s="150" t="s">
        <v>230</v>
      </c>
      <c r="F66" s="150">
        <v>56</v>
      </c>
      <c r="G66" s="150" t="s">
        <v>234</v>
      </c>
      <c r="H66" s="150" t="s">
        <v>136</v>
      </c>
      <c r="I66" s="150" t="s">
        <v>132</v>
      </c>
      <c r="J66" s="150" t="s">
        <v>132</v>
      </c>
      <c r="K66" s="150" t="s">
        <v>132</v>
      </c>
      <c r="L66" s="150" t="s">
        <v>132</v>
      </c>
      <c r="M66" s="150" t="s">
        <v>132</v>
      </c>
      <c r="N66" s="150" t="s">
        <v>132</v>
      </c>
      <c r="O66" s="150" t="s">
        <v>132</v>
      </c>
      <c r="P66"/>
    </row>
    <row r="67" spans="1:16">
      <c r="A67" s="150" t="s">
        <v>144</v>
      </c>
      <c r="B67" s="150">
        <v>4</v>
      </c>
      <c r="C67" s="150">
        <v>4</v>
      </c>
      <c r="D67" s="150" t="s">
        <v>233</v>
      </c>
      <c r="E67" s="150" t="s">
        <v>228</v>
      </c>
      <c r="F67" s="150">
        <v>56</v>
      </c>
      <c r="G67" s="150" t="s">
        <v>234</v>
      </c>
      <c r="H67" s="150" t="s">
        <v>136</v>
      </c>
      <c r="I67" s="150" t="s">
        <v>132</v>
      </c>
      <c r="J67" s="150" t="s">
        <v>132</v>
      </c>
      <c r="K67" s="150" t="s">
        <v>132</v>
      </c>
      <c r="L67" s="150" t="s">
        <v>132</v>
      </c>
      <c r="M67" s="150" t="s">
        <v>132</v>
      </c>
      <c r="N67" s="150" t="s">
        <v>132</v>
      </c>
      <c r="O67" s="150" t="s">
        <v>132</v>
      </c>
      <c r="P67"/>
    </row>
    <row r="68" spans="1:16">
      <c r="A68" s="150" t="s">
        <v>145</v>
      </c>
      <c r="B68" s="150">
        <v>4</v>
      </c>
      <c r="C68" s="150">
        <v>4</v>
      </c>
      <c r="D68" s="150" t="s">
        <v>233</v>
      </c>
      <c r="E68" s="150" t="s">
        <v>229</v>
      </c>
      <c r="F68" s="180">
        <v>63</v>
      </c>
      <c r="G68" s="150" t="s">
        <v>234</v>
      </c>
      <c r="H68" s="150" t="s">
        <v>136</v>
      </c>
      <c r="I68" s="150" t="s">
        <v>132</v>
      </c>
      <c r="J68" s="150" t="s">
        <v>132</v>
      </c>
      <c r="K68" s="150" t="s">
        <v>132</v>
      </c>
      <c r="L68" s="150" t="s">
        <v>132</v>
      </c>
      <c r="M68" s="150" t="s">
        <v>132</v>
      </c>
      <c r="N68" s="150" t="s">
        <v>132</v>
      </c>
      <c r="O68" s="150" t="s">
        <v>132</v>
      </c>
      <c r="P68"/>
    </row>
    <row r="69" spans="1:16">
      <c r="A69" s="150" t="s">
        <v>146</v>
      </c>
      <c r="B69" s="150">
        <v>5</v>
      </c>
      <c r="C69" s="150">
        <v>5</v>
      </c>
      <c r="D69" s="150" t="s">
        <v>231</v>
      </c>
      <c r="E69" s="150" t="s">
        <v>231</v>
      </c>
      <c r="F69" s="150">
        <v>63</v>
      </c>
      <c r="G69" s="150" t="s">
        <v>234</v>
      </c>
      <c r="H69" s="150" t="s">
        <v>136</v>
      </c>
      <c r="I69" s="151" t="s">
        <v>240</v>
      </c>
      <c r="J69" s="150" t="s">
        <v>240</v>
      </c>
      <c r="K69" s="150" t="s">
        <v>283</v>
      </c>
      <c r="L69" s="168">
        <v>584</v>
      </c>
      <c r="M69" s="168">
        <v>1228</v>
      </c>
      <c r="N69" s="168">
        <v>56.391488719486738</v>
      </c>
      <c r="O69" s="168">
        <v>53.572380943915498</v>
      </c>
      <c r="P69"/>
    </row>
    <row r="70" spans="1:16">
      <c r="A70" s="150" t="s">
        <v>146</v>
      </c>
      <c r="B70" s="150">
        <v>5</v>
      </c>
      <c r="C70" s="150">
        <v>5</v>
      </c>
      <c r="D70" s="150" t="s">
        <v>231</v>
      </c>
      <c r="E70" s="150" t="s">
        <v>231</v>
      </c>
      <c r="F70" s="150">
        <v>63</v>
      </c>
      <c r="G70" s="150" t="s">
        <v>234</v>
      </c>
      <c r="H70" s="150" t="s">
        <v>136</v>
      </c>
      <c r="I70" s="151" t="s">
        <v>239</v>
      </c>
      <c r="J70" s="150" t="s">
        <v>240</v>
      </c>
      <c r="K70" s="150" t="s">
        <v>283</v>
      </c>
      <c r="L70" s="168">
        <v>2048</v>
      </c>
      <c r="M70" s="168">
        <v>2380</v>
      </c>
      <c r="N70" s="168">
        <v>441.89365236445747</v>
      </c>
      <c r="O70" s="168">
        <v>164.31676725154983</v>
      </c>
      <c r="P70"/>
    </row>
    <row r="71" spans="1:16">
      <c r="A71" s="150" t="s">
        <v>146</v>
      </c>
      <c r="B71" s="150">
        <v>5</v>
      </c>
      <c r="C71" s="150">
        <v>5</v>
      </c>
      <c r="D71" s="150" t="s">
        <v>231</v>
      </c>
      <c r="E71" s="150" t="s">
        <v>231</v>
      </c>
      <c r="F71" s="150">
        <v>63</v>
      </c>
      <c r="G71" s="150" t="s">
        <v>234</v>
      </c>
      <c r="H71" s="150" t="s">
        <v>136</v>
      </c>
      <c r="I71" s="151" t="s">
        <v>239</v>
      </c>
      <c r="J71" s="150" t="s">
        <v>240</v>
      </c>
      <c r="K71" s="150" t="s">
        <v>283</v>
      </c>
      <c r="L71" s="168">
        <v>3980</v>
      </c>
      <c r="M71" s="168">
        <v>4840</v>
      </c>
      <c r="N71" s="168">
        <v>248.99799195977465</v>
      </c>
      <c r="O71" s="168">
        <v>384.70768123342691</v>
      </c>
      <c r="P71"/>
    </row>
    <row r="72" spans="1:16">
      <c r="A72" s="150" t="s">
        <v>146</v>
      </c>
      <c r="B72" s="150">
        <v>5</v>
      </c>
      <c r="C72" s="150">
        <v>5</v>
      </c>
      <c r="D72" s="150" t="s">
        <v>231</v>
      </c>
      <c r="E72" s="150" t="s">
        <v>231</v>
      </c>
      <c r="F72" s="150">
        <v>63</v>
      </c>
      <c r="G72" s="150" t="s">
        <v>234</v>
      </c>
      <c r="H72" s="150" t="s">
        <v>136</v>
      </c>
      <c r="I72" s="151" t="s">
        <v>239</v>
      </c>
      <c r="J72" s="150" t="s">
        <v>240</v>
      </c>
      <c r="K72" s="150" t="s">
        <v>283</v>
      </c>
      <c r="L72" s="168">
        <v>4880</v>
      </c>
      <c r="M72" s="168">
        <v>6040</v>
      </c>
      <c r="N72" s="168">
        <v>311.44823004794875</v>
      </c>
      <c r="O72" s="168">
        <v>687.74995456197598</v>
      </c>
      <c r="P72"/>
    </row>
    <row r="73" spans="1:16">
      <c r="A73" s="150" t="s">
        <v>146</v>
      </c>
      <c r="B73" s="150">
        <v>5</v>
      </c>
      <c r="C73" s="150">
        <v>5</v>
      </c>
      <c r="D73" s="150" t="s">
        <v>231</v>
      </c>
      <c r="E73" s="150" t="s">
        <v>231</v>
      </c>
      <c r="F73" s="150">
        <v>63</v>
      </c>
      <c r="G73" s="150" t="s">
        <v>234</v>
      </c>
      <c r="H73" s="150" t="s">
        <v>136</v>
      </c>
      <c r="I73" s="151" t="s">
        <v>239</v>
      </c>
      <c r="J73" s="150" t="s">
        <v>240</v>
      </c>
      <c r="K73" s="150" t="s">
        <v>283</v>
      </c>
      <c r="L73" s="168">
        <v>5140</v>
      </c>
      <c r="M73" s="168">
        <v>6640</v>
      </c>
      <c r="N73" s="168">
        <v>343.51128074635335</v>
      </c>
      <c r="O73" s="168">
        <v>472.2287581247038</v>
      </c>
      <c r="P73"/>
    </row>
    <row r="74" spans="1:16">
      <c r="A74" s="150" t="s">
        <v>146</v>
      </c>
      <c r="B74" s="150">
        <v>5</v>
      </c>
      <c r="C74" s="150">
        <v>5</v>
      </c>
      <c r="D74" s="150" t="s">
        <v>231</v>
      </c>
      <c r="E74" s="150" t="s">
        <v>231</v>
      </c>
      <c r="F74" s="150">
        <v>63</v>
      </c>
      <c r="G74" s="150" t="s">
        <v>234</v>
      </c>
      <c r="H74" s="150" t="s">
        <v>136</v>
      </c>
      <c r="I74" s="151" t="s">
        <v>240</v>
      </c>
      <c r="J74" s="151" t="s">
        <v>241</v>
      </c>
      <c r="K74" s="150" t="s">
        <v>283</v>
      </c>
      <c r="L74" s="168">
        <v>504</v>
      </c>
      <c r="M74" s="168">
        <v>1050</v>
      </c>
      <c r="N74" s="168">
        <v>50.299105359837164</v>
      </c>
      <c r="O74" s="168">
        <v>46.36809247747852</v>
      </c>
      <c r="P74"/>
    </row>
    <row r="75" spans="1:16">
      <c r="A75" s="150" t="s">
        <v>146</v>
      </c>
      <c r="B75" s="150">
        <v>5</v>
      </c>
      <c r="C75" s="150">
        <v>5</v>
      </c>
      <c r="D75" s="150" t="s">
        <v>231</v>
      </c>
      <c r="E75" s="150" t="s">
        <v>231</v>
      </c>
      <c r="F75" s="150">
        <v>63</v>
      </c>
      <c r="G75" s="150" t="s">
        <v>234</v>
      </c>
      <c r="H75" s="150" t="s">
        <v>136</v>
      </c>
      <c r="I75" s="151" t="s">
        <v>239</v>
      </c>
      <c r="J75" s="151" t="s">
        <v>241</v>
      </c>
      <c r="K75" s="150" t="s">
        <v>283</v>
      </c>
      <c r="L75" s="168">
        <v>1656</v>
      </c>
      <c r="M75" s="168">
        <v>1796</v>
      </c>
      <c r="N75" s="168">
        <v>153.23185047502363</v>
      </c>
      <c r="O75" s="168">
        <v>185.68791021496256</v>
      </c>
      <c r="P75"/>
    </row>
    <row r="76" spans="1:16">
      <c r="A76" s="150" t="s">
        <v>146</v>
      </c>
      <c r="B76" s="150">
        <v>5</v>
      </c>
      <c r="C76" s="150">
        <v>5</v>
      </c>
      <c r="D76" s="150" t="s">
        <v>231</v>
      </c>
      <c r="E76" s="150" t="s">
        <v>231</v>
      </c>
      <c r="F76" s="150">
        <v>63</v>
      </c>
      <c r="G76" s="150" t="s">
        <v>234</v>
      </c>
      <c r="H76" s="150" t="s">
        <v>136</v>
      </c>
      <c r="I76" s="151" t="s">
        <v>239</v>
      </c>
      <c r="J76" s="151" t="s">
        <v>241</v>
      </c>
      <c r="K76" s="150" t="s">
        <v>283</v>
      </c>
      <c r="L76" s="168">
        <v>4200</v>
      </c>
      <c r="M76" s="168">
        <v>4320</v>
      </c>
      <c r="N76" s="168">
        <v>524.40442408507579</v>
      </c>
      <c r="O76" s="168">
        <v>506.95167422546302</v>
      </c>
      <c r="P76"/>
    </row>
    <row r="77" spans="1:16">
      <c r="A77" s="150" t="s">
        <v>146</v>
      </c>
      <c r="B77" s="150">
        <v>5</v>
      </c>
      <c r="C77" s="150">
        <v>5</v>
      </c>
      <c r="D77" s="150" t="s">
        <v>231</v>
      </c>
      <c r="E77" s="150" t="s">
        <v>231</v>
      </c>
      <c r="F77" s="150">
        <v>63</v>
      </c>
      <c r="G77" s="150" t="s">
        <v>234</v>
      </c>
      <c r="H77" s="150" t="s">
        <v>136</v>
      </c>
      <c r="I77" s="151" t="s">
        <v>239</v>
      </c>
      <c r="J77" s="151" t="s">
        <v>241</v>
      </c>
      <c r="K77" s="150" t="s">
        <v>283</v>
      </c>
      <c r="L77" s="168">
        <v>5320</v>
      </c>
      <c r="M77" s="168">
        <v>6520</v>
      </c>
      <c r="N77" s="168">
        <v>268.32815729997475</v>
      </c>
      <c r="O77" s="168">
        <v>438.17804600413291</v>
      </c>
      <c r="P77"/>
    </row>
    <row r="78" spans="1:16">
      <c r="A78" s="150" t="s">
        <v>146</v>
      </c>
      <c r="B78" s="150">
        <v>5</v>
      </c>
      <c r="C78" s="150">
        <v>5</v>
      </c>
      <c r="D78" s="150" t="s">
        <v>231</v>
      </c>
      <c r="E78" s="150" t="s">
        <v>231</v>
      </c>
      <c r="F78" s="150">
        <v>63</v>
      </c>
      <c r="G78" s="150" t="s">
        <v>234</v>
      </c>
      <c r="H78" s="150" t="s">
        <v>136</v>
      </c>
      <c r="I78" s="151" t="s">
        <v>239</v>
      </c>
      <c r="J78" s="151" t="s">
        <v>241</v>
      </c>
      <c r="K78" s="150" t="s">
        <v>283</v>
      </c>
      <c r="L78" s="168">
        <v>6060</v>
      </c>
      <c r="M78" s="168">
        <v>7480</v>
      </c>
      <c r="N78" s="168">
        <v>378.15340802378074</v>
      </c>
      <c r="O78" s="168">
        <v>563.02753041036988</v>
      </c>
      <c r="P78"/>
    </row>
    <row r="79" spans="1:16">
      <c r="A79" s="150" t="s">
        <v>147</v>
      </c>
      <c r="B79" s="150">
        <v>5</v>
      </c>
      <c r="C79" s="150">
        <v>5</v>
      </c>
      <c r="D79" s="150" t="s">
        <v>231</v>
      </c>
      <c r="E79" s="150" t="s">
        <v>231</v>
      </c>
      <c r="F79" s="150">
        <v>63</v>
      </c>
      <c r="G79" s="150" t="s">
        <v>234</v>
      </c>
      <c r="H79" s="150" t="s">
        <v>136</v>
      </c>
      <c r="I79" s="151" t="s">
        <v>240</v>
      </c>
      <c r="J79" s="150" t="s">
        <v>240</v>
      </c>
      <c r="K79" s="150" t="s">
        <v>283</v>
      </c>
      <c r="L79" s="171">
        <v>584</v>
      </c>
      <c r="M79" s="171">
        <v>1402</v>
      </c>
      <c r="N79" s="171">
        <v>65.80273550544841</v>
      </c>
      <c r="O79" s="171">
        <v>296.26002092756289</v>
      </c>
      <c r="P79"/>
    </row>
    <row r="80" spans="1:16">
      <c r="A80" s="150" t="s">
        <v>147</v>
      </c>
      <c r="B80" s="150">
        <v>5</v>
      </c>
      <c r="C80" s="150">
        <v>5</v>
      </c>
      <c r="D80" s="150" t="s">
        <v>231</v>
      </c>
      <c r="E80" s="150" t="s">
        <v>231</v>
      </c>
      <c r="F80" s="150">
        <v>63</v>
      </c>
      <c r="G80" s="150" t="s">
        <v>234</v>
      </c>
      <c r="H80" s="150" t="s">
        <v>136</v>
      </c>
      <c r="I80" s="151" t="s">
        <v>240</v>
      </c>
      <c r="J80" s="151" t="s">
        <v>241</v>
      </c>
      <c r="K80" s="150" t="s">
        <v>283</v>
      </c>
      <c r="L80" s="171">
        <v>638</v>
      </c>
      <c r="M80" s="171">
        <v>1268</v>
      </c>
      <c r="N80" s="171">
        <v>61.806148561449774</v>
      </c>
      <c r="O80" s="171">
        <v>96.79876032264049</v>
      </c>
      <c r="P80"/>
    </row>
    <row r="81" spans="1:16">
      <c r="A81" s="150" t="s">
        <v>147</v>
      </c>
      <c r="B81" s="150">
        <v>5</v>
      </c>
      <c r="C81" s="150">
        <v>5</v>
      </c>
      <c r="D81" s="150" t="s">
        <v>231</v>
      </c>
      <c r="E81" s="150" t="s">
        <v>231</v>
      </c>
      <c r="F81" s="150">
        <v>63</v>
      </c>
      <c r="G81" s="150" t="s">
        <v>234</v>
      </c>
      <c r="H81" s="150" t="s">
        <v>136</v>
      </c>
      <c r="I81" s="151" t="s">
        <v>240</v>
      </c>
      <c r="J81" s="151" t="s">
        <v>241</v>
      </c>
      <c r="K81" s="150" t="s">
        <v>283</v>
      </c>
      <c r="L81" s="171">
        <v>648</v>
      </c>
      <c r="M81" s="171">
        <v>1416</v>
      </c>
      <c r="N81" s="171">
        <v>65.726706900619931</v>
      </c>
      <c r="O81" s="171">
        <v>145.3616180427282</v>
      </c>
      <c r="P81"/>
    </row>
    <row r="82" spans="1:16">
      <c r="A82" s="150" t="s">
        <v>147</v>
      </c>
      <c r="B82" s="150">
        <v>5</v>
      </c>
      <c r="C82" s="150">
        <v>5</v>
      </c>
      <c r="D82" s="150" t="s">
        <v>231</v>
      </c>
      <c r="E82" s="150" t="s">
        <v>231</v>
      </c>
      <c r="F82" s="150">
        <v>63</v>
      </c>
      <c r="G82" s="150" t="s">
        <v>234</v>
      </c>
      <c r="H82" s="150" t="s">
        <v>136</v>
      </c>
      <c r="I82" s="151" t="s">
        <v>240</v>
      </c>
      <c r="J82" s="151" t="s">
        <v>241</v>
      </c>
      <c r="K82" s="150" t="s">
        <v>283</v>
      </c>
      <c r="L82" s="171">
        <v>638</v>
      </c>
      <c r="M82" s="171">
        <v>1070</v>
      </c>
      <c r="N82" s="171">
        <v>34.928498393145958</v>
      </c>
      <c r="O82" s="171">
        <v>228.36374493338474</v>
      </c>
      <c r="P82"/>
    </row>
    <row r="83" spans="1:16">
      <c r="A83" s="150" t="s">
        <v>147</v>
      </c>
      <c r="B83" s="150">
        <v>5</v>
      </c>
      <c r="C83" s="150">
        <v>5</v>
      </c>
      <c r="D83" s="150" t="s">
        <v>231</v>
      </c>
      <c r="E83" s="150" t="s">
        <v>231</v>
      </c>
      <c r="F83" s="150">
        <v>63</v>
      </c>
      <c r="G83" s="150" t="s">
        <v>234</v>
      </c>
      <c r="H83" s="150" t="s">
        <v>136</v>
      </c>
      <c r="I83" s="151" t="s">
        <v>240</v>
      </c>
      <c r="J83" s="151" t="s">
        <v>241</v>
      </c>
      <c r="K83" s="150" t="s">
        <v>283</v>
      </c>
      <c r="L83" s="171">
        <v>646</v>
      </c>
      <c r="M83" s="171">
        <v>742</v>
      </c>
      <c r="N83" s="171">
        <v>63.874877690685246</v>
      </c>
      <c r="O83" s="171">
        <v>137.18600511714013</v>
      </c>
      <c r="P83"/>
    </row>
    <row r="84" spans="1:16">
      <c r="A84" s="150" t="s">
        <v>147</v>
      </c>
      <c r="B84" s="150">
        <v>5</v>
      </c>
      <c r="C84" s="150">
        <v>5</v>
      </c>
      <c r="D84" s="150" t="s">
        <v>231</v>
      </c>
      <c r="E84" s="150" t="s">
        <v>231</v>
      </c>
      <c r="F84" s="150">
        <v>63</v>
      </c>
      <c r="G84" s="150" t="s">
        <v>234</v>
      </c>
      <c r="H84" s="150" t="s">
        <v>136</v>
      </c>
      <c r="I84" s="151" t="s">
        <v>239</v>
      </c>
      <c r="J84" s="150" t="s">
        <v>240</v>
      </c>
      <c r="K84" s="150" t="s">
        <v>283</v>
      </c>
      <c r="L84" s="171">
        <v>1090</v>
      </c>
      <c r="M84" s="171">
        <v>1100</v>
      </c>
      <c r="N84" s="171">
        <v>196.34153916071861</v>
      </c>
      <c r="O84" s="171">
        <v>108.39741694339399</v>
      </c>
      <c r="P84"/>
    </row>
    <row r="85" spans="1:16">
      <c r="A85" s="150" t="s">
        <v>147</v>
      </c>
      <c r="B85" s="150">
        <v>5</v>
      </c>
      <c r="C85" s="150">
        <v>5</v>
      </c>
      <c r="D85" s="150" t="s">
        <v>231</v>
      </c>
      <c r="E85" s="150" t="s">
        <v>231</v>
      </c>
      <c r="F85" s="150">
        <v>63</v>
      </c>
      <c r="G85" s="150" t="s">
        <v>234</v>
      </c>
      <c r="H85" s="150" t="s">
        <v>136</v>
      </c>
      <c r="I85" s="151" t="s">
        <v>239</v>
      </c>
      <c r="J85" s="151" t="s">
        <v>241</v>
      </c>
      <c r="K85" s="150" t="s">
        <v>283</v>
      </c>
      <c r="L85" s="171">
        <v>1024</v>
      </c>
      <c r="M85" s="171">
        <v>956</v>
      </c>
      <c r="N85" s="171">
        <v>77.006493232713822</v>
      </c>
      <c r="O85" s="171">
        <v>54.12947441089743</v>
      </c>
      <c r="P85"/>
    </row>
    <row r="86" spans="1:16">
      <c r="A86" s="150" t="s">
        <v>147</v>
      </c>
      <c r="B86" s="150">
        <v>5</v>
      </c>
      <c r="C86" s="150">
        <v>5</v>
      </c>
      <c r="D86" s="150" t="s">
        <v>231</v>
      </c>
      <c r="E86" s="150" t="s">
        <v>231</v>
      </c>
      <c r="F86" s="150">
        <v>63</v>
      </c>
      <c r="G86" s="150" t="s">
        <v>234</v>
      </c>
      <c r="H86" s="150" t="s">
        <v>136</v>
      </c>
      <c r="I86" s="151" t="s">
        <v>239</v>
      </c>
      <c r="J86" s="151" t="s">
        <v>241</v>
      </c>
      <c r="K86" s="150" t="s">
        <v>283</v>
      </c>
      <c r="L86" s="171">
        <v>998</v>
      </c>
      <c r="M86" s="171">
        <v>1096</v>
      </c>
      <c r="N86" s="171">
        <v>111.66915420114903</v>
      </c>
      <c r="O86" s="171">
        <v>63.482280992415511</v>
      </c>
      <c r="P86"/>
    </row>
    <row r="87" spans="1:16">
      <c r="A87" s="150" t="s">
        <v>147</v>
      </c>
      <c r="B87" s="150">
        <v>5</v>
      </c>
      <c r="C87" s="150">
        <v>5</v>
      </c>
      <c r="D87" s="150" t="s">
        <v>231</v>
      </c>
      <c r="E87" s="150" t="s">
        <v>231</v>
      </c>
      <c r="F87" s="150">
        <v>63</v>
      </c>
      <c r="G87" s="150" t="s">
        <v>234</v>
      </c>
      <c r="H87" s="150" t="s">
        <v>136</v>
      </c>
      <c r="I87" s="151" t="s">
        <v>239</v>
      </c>
      <c r="J87" s="151" t="s">
        <v>241</v>
      </c>
      <c r="K87" s="150" t="s">
        <v>283</v>
      </c>
      <c r="L87" s="171">
        <v>1098</v>
      </c>
      <c r="M87" s="171">
        <v>1006</v>
      </c>
      <c r="N87" s="171">
        <v>120.29131306956458</v>
      </c>
      <c r="O87" s="171">
        <v>62.289646009589745</v>
      </c>
      <c r="P87"/>
    </row>
    <row r="88" spans="1:16">
      <c r="A88" s="150" t="s">
        <v>147</v>
      </c>
      <c r="B88" s="150">
        <v>5</v>
      </c>
      <c r="C88" s="150">
        <v>5</v>
      </c>
      <c r="D88" s="150" t="s">
        <v>231</v>
      </c>
      <c r="E88" s="150" t="s">
        <v>231</v>
      </c>
      <c r="F88" s="150">
        <v>63</v>
      </c>
      <c r="G88" s="150" t="s">
        <v>234</v>
      </c>
      <c r="H88" s="150" t="s">
        <v>136</v>
      </c>
      <c r="I88" s="151" t="s">
        <v>239</v>
      </c>
      <c r="J88" s="151" t="s">
        <v>241</v>
      </c>
      <c r="K88" s="150" t="s">
        <v>283</v>
      </c>
      <c r="L88" s="171">
        <v>996</v>
      </c>
      <c r="M88" s="171">
        <v>992</v>
      </c>
      <c r="N88" s="171">
        <v>49.79959839195493</v>
      </c>
      <c r="O88" s="171">
        <v>30.331501776206203</v>
      </c>
      <c r="P88"/>
    </row>
    <row r="89" spans="1:16">
      <c r="A89" s="150" t="s">
        <v>148</v>
      </c>
      <c r="B89" s="150">
        <v>5</v>
      </c>
      <c r="C89" s="150">
        <v>5</v>
      </c>
      <c r="D89" s="150" t="s">
        <v>231</v>
      </c>
      <c r="E89" s="150" t="s">
        <v>231</v>
      </c>
      <c r="F89" s="150">
        <v>56</v>
      </c>
      <c r="G89" s="150" t="s">
        <v>234</v>
      </c>
      <c r="H89" s="150" t="s">
        <v>136</v>
      </c>
      <c r="I89" s="151" t="s">
        <v>239</v>
      </c>
      <c r="J89" s="151" t="s">
        <v>241</v>
      </c>
      <c r="K89" s="150" t="s">
        <v>283</v>
      </c>
      <c r="L89" s="176">
        <v>924</v>
      </c>
      <c r="M89" s="176">
        <v>1214</v>
      </c>
      <c r="N89" s="167">
        <v>43.358966777357601</v>
      </c>
      <c r="O89" s="167">
        <v>58.9915248150105</v>
      </c>
      <c r="P89"/>
    </row>
    <row r="90" spans="1:16">
      <c r="A90" s="150" t="s">
        <v>148</v>
      </c>
      <c r="B90" s="150">
        <v>5</v>
      </c>
      <c r="C90" s="150">
        <v>5</v>
      </c>
      <c r="D90" s="150" t="s">
        <v>231</v>
      </c>
      <c r="E90" s="150" t="s">
        <v>231</v>
      </c>
      <c r="F90" s="150">
        <v>56</v>
      </c>
      <c r="G90" s="150" t="s">
        <v>234</v>
      </c>
      <c r="H90" s="150" t="s">
        <v>136</v>
      </c>
      <c r="I90" s="151" t="s">
        <v>239</v>
      </c>
      <c r="J90" s="151" t="s">
        <v>241</v>
      </c>
      <c r="K90" s="150" t="s">
        <v>283</v>
      </c>
      <c r="L90" s="176">
        <v>858</v>
      </c>
      <c r="M90" s="176">
        <v>1258</v>
      </c>
      <c r="N90" s="167">
        <v>25.88435821108957</v>
      </c>
      <c r="O90" s="167">
        <v>88.713020464867498</v>
      </c>
      <c r="P90"/>
    </row>
    <row r="91" spans="1:16">
      <c r="A91" s="150" t="s">
        <v>148</v>
      </c>
      <c r="B91" s="150">
        <v>5</v>
      </c>
      <c r="C91" s="150">
        <v>5</v>
      </c>
      <c r="D91" s="150" t="s">
        <v>231</v>
      </c>
      <c r="E91" s="150" t="s">
        <v>231</v>
      </c>
      <c r="F91" s="150">
        <v>56</v>
      </c>
      <c r="G91" s="150" t="s">
        <v>234</v>
      </c>
      <c r="H91" s="150" t="s">
        <v>136</v>
      </c>
      <c r="I91" s="151" t="s">
        <v>239</v>
      </c>
      <c r="J91" s="151" t="s">
        <v>241</v>
      </c>
      <c r="K91" s="150" t="s">
        <v>283</v>
      </c>
      <c r="L91" s="176">
        <v>836</v>
      </c>
      <c r="M91" s="176">
        <v>1138</v>
      </c>
      <c r="N91" s="167">
        <v>42.190046219457976</v>
      </c>
      <c r="O91" s="167">
        <v>37.013511046643494</v>
      </c>
      <c r="P91"/>
    </row>
    <row r="92" spans="1:16">
      <c r="A92" s="150" t="s">
        <v>148</v>
      </c>
      <c r="B92" s="150">
        <v>5</v>
      </c>
      <c r="C92" s="150">
        <v>5</v>
      </c>
      <c r="D92" s="150" t="s">
        <v>231</v>
      </c>
      <c r="E92" s="150" t="s">
        <v>231</v>
      </c>
      <c r="F92" s="150">
        <v>56</v>
      </c>
      <c r="G92" s="150" t="s">
        <v>234</v>
      </c>
      <c r="H92" s="150" t="s">
        <v>136</v>
      </c>
      <c r="I92" s="151" t="s">
        <v>239</v>
      </c>
      <c r="J92" s="151" t="s">
        <v>241</v>
      </c>
      <c r="K92" s="150" t="s">
        <v>283</v>
      </c>
      <c r="L92" s="176">
        <v>922</v>
      </c>
      <c r="M92" s="176">
        <v>1260</v>
      </c>
      <c r="N92" s="167">
        <v>60.991802727907626</v>
      </c>
      <c r="O92" s="167">
        <v>88.317608663278463</v>
      </c>
      <c r="P92"/>
    </row>
    <row r="93" spans="1:16">
      <c r="A93" s="150" t="s">
        <v>148</v>
      </c>
      <c r="B93" s="150">
        <v>5</v>
      </c>
      <c r="C93" s="150">
        <v>5</v>
      </c>
      <c r="D93" s="150" t="s">
        <v>231</v>
      </c>
      <c r="E93" s="150" t="s">
        <v>231</v>
      </c>
      <c r="F93" s="150">
        <v>56</v>
      </c>
      <c r="G93" s="150" t="s">
        <v>234</v>
      </c>
      <c r="H93" s="150" t="s">
        <v>136</v>
      </c>
      <c r="I93" s="151" t="s">
        <v>239</v>
      </c>
      <c r="J93" s="151" t="s">
        <v>241</v>
      </c>
      <c r="K93" s="150" t="s">
        <v>283</v>
      </c>
      <c r="L93" s="176">
        <v>858</v>
      </c>
      <c r="M93" s="176">
        <v>1182</v>
      </c>
      <c r="N93" s="167">
        <v>88.994381845147956</v>
      </c>
      <c r="O93" s="167">
        <v>103.53743284435828</v>
      </c>
      <c r="P93"/>
    </row>
    <row r="94" spans="1:16">
      <c r="A94" s="150" t="s">
        <v>148</v>
      </c>
      <c r="B94" s="150">
        <v>5</v>
      </c>
      <c r="C94" s="150">
        <v>5</v>
      </c>
      <c r="D94" s="150" t="s">
        <v>231</v>
      </c>
      <c r="E94" s="150" t="s">
        <v>231</v>
      </c>
      <c r="F94" s="150">
        <v>56</v>
      </c>
      <c r="G94" s="150" t="s">
        <v>234</v>
      </c>
      <c r="H94" s="150" t="s">
        <v>136</v>
      </c>
      <c r="I94" s="151" t="s">
        <v>239</v>
      </c>
      <c r="J94" s="151" t="s">
        <v>241</v>
      </c>
      <c r="K94" s="150" t="s">
        <v>283</v>
      </c>
      <c r="L94" s="176">
        <v>1012</v>
      </c>
      <c r="M94" s="176">
        <v>1386</v>
      </c>
      <c r="N94" s="167">
        <v>16.431676725154983</v>
      </c>
      <c r="O94" s="167">
        <v>59.413803110051795</v>
      </c>
      <c r="P94"/>
    </row>
    <row r="95" spans="1:16">
      <c r="A95" s="150" t="s">
        <v>149</v>
      </c>
      <c r="B95" s="150">
        <v>6</v>
      </c>
      <c r="C95" s="150">
        <v>6</v>
      </c>
      <c r="D95" s="150" t="s">
        <v>231</v>
      </c>
      <c r="E95" s="150" t="s">
        <v>231</v>
      </c>
      <c r="F95" s="150">
        <v>36</v>
      </c>
      <c r="G95" s="150" t="s">
        <v>234</v>
      </c>
      <c r="H95" s="150" t="s">
        <v>137</v>
      </c>
      <c r="I95" s="150" t="s">
        <v>132</v>
      </c>
      <c r="J95" s="150" t="s">
        <v>132</v>
      </c>
      <c r="K95" s="150" t="s">
        <v>283</v>
      </c>
      <c r="L95" s="150" t="s">
        <v>132</v>
      </c>
      <c r="M95" s="150" t="s">
        <v>132</v>
      </c>
      <c r="N95" s="150" t="s">
        <v>132</v>
      </c>
      <c r="O95" s="150" t="s">
        <v>132</v>
      </c>
      <c r="P95"/>
    </row>
    <row r="96" spans="1:16">
      <c r="A96" s="150" t="s">
        <v>150</v>
      </c>
      <c r="B96" s="150">
        <v>4</v>
      </c>
      <c r="C96" s="150">
        <v>4</v>
      </c>
      <c r="D96" s="150" t="s">
        <v>233</v>
      </c>
      <c r="E96" s="150" t="s">
        <v>229</v>
      </c>
      <c r="F96" s="150">
        <v>7</v>
      </c>
      <c r="G96" s="150" t="s">
        <v>235</v>
      </c>
      <c r="H96" s="150" t="s">
        <v>136</v>
      </c>
      <c r="I96" s="150" t="s">
        <v>132</v>
      </c>
      <c r="J96" s="150" t="s">
        <v>132</v>
      </c>
      <c r="K96" s="150" t="s">
        <v>132</v>
      </c>
      <c r="L96" s="150" t="s">
        <v>132</v>
      </c>
      <c r="M96" s="150" t="s">
        <v>132</v>
      </c>
      <c r="N96" s="150" t="s">
        <v>132</v>
      </c>
      <c r="O96" s="150" t="s">
        <v>132</v>
      </c>
      <c r="P96"/>
    </row>
    <row r="97" spans="1:16">
      <c r="A97" s="150" t="s">
        <v>150</v>
      </c>
      <c r="B97" s="150">
        <v>4</v>
      </c>
      <c r="C97" s="150">
        <v>4</v>
      </c>
      <c r="D97" s="150" t="s">
        <v>233</v>
      </c>
      <c r="E97" s="150" t="s">
        <v>228</v>
      </c>
      <c r="F97" s="150">
        <v>14</v>
      </c>
      <c r="G97" s="150" t="s">
        <v>235</v>
      </c>
      <c r="H97" s="150" t="s">
        <v>136</v>
      </c>
      <c r="I97" s="150" t="s">
        <v>132</v>
      </c>
      <c r="J97" s="150" t="s">
        <v>132</v>
      </c>
      <c r="K97" s="150" t="s">
        <v>132</v>
      </c>
      <c r="L97" s="150" t="s">
        <v>132</v>
      </c>
      <c r="M97" s="150" t="s">
        <v>132</v>
      </c>
      <c r="N97" s="150" t="s">
        <v>132</v>
      </c>
      <c r="O97" s="150" t="s">
        <v>132</v>
      </c>
      <c r="P97"/>
    </row>
    <row r="98" spans="1:16">
      <c r="A98" s="150" t="s">
        <v>150</v>
      </c>
      <c r="B98" s="150">
        <v>4</v>
      </c>
      <c r="C98" s="150">
        <v>4</v>
      </c>
      <c r="D98" s="150" t="s">
        <v>233</v>
      </c>
      <c r="E98" s="150" t="s">
        <v>230</v>
      </c>
      <c r="F98" s="150">
        <v>21</v>
      </c>
      <c r="G98" s="150" t="s">
        <v>235</v>
      </c>
      <c r="H98" s="150" t="s">
        <v>136</v>
      </c>
      <c r="I98" s="150" t="s">
        <v>132</v>
      </c>
      <c r="J98" s="150" t="s">
        <v>132</v>
      </c>
      <c r="K98" s="150" t="s">
        <v>132</v>
      </c>
      <c r="L98" s="150" t="s">
        <v>132</v>
      </c>
      <c r="M98" s="150" t="s">
        <v>132</v>
      </c>
      <c r="N98" s="150" t="s">
        <v>132</v>
      </c>
      <c r="O98" s="150" t="s">
        <v>132</v>
      </c>
      <c r="P98"/>
    </row>
    <row r="99" spans="1:16">
      <c r="A99" s="150" t="s">
        <v>151</v>
      </c>
      <c r="B99" s="150">
        <v>10</v>
      </c>
      <c r="C99" s="150">
        <v>10</v>
      </c>
      <c r="D99" s="150" t="s">
        <v>231</v>
      </c>
      <c r="E99" s="150" t="s">
        <v>231</v>
      </c>
      <c r="F99" s="150">
        <v>84</v>
      </c>
      <c r="G99" s="150" t="s">
        <v>235</v>
      </c>
      <c r="H99" s="150" t="s">
        <v>136</v>
      </c>
      <c r="I99" s="150" t="s">
        <v>132</v>
      </c>
      <c r="J99" s="150" t="s">
        <v>132</v>
      </c>
      <c r="K99" s="150" t="s">
        <v>132</v>
      </c>
      <c r="L99" s="150" t="s">
        <v>132</v>
      </c>
      <c r="M99" s="150" t="s">
        <v>132</v>
      </c>
      <c r="N99" s="150" t="s">
        <v>132</v>
      </c>
      <c r="O99" s="150" t="s">
        <v>132</v>
      </c>
      <c r="P99"/>
    </row>
    <row r="100" spans="1:16">
      <c r="A100" s="150" t="s">
        <v>152</v>
      </c>
      <c r="B100" s="150">
        <v>3</v>
      </c>
      <c r="C100" s="150">
        <v>4</v>
      </c>
      <c r="D100" s="150" t="s">
        <v>231</v>
      </c>
      <c r="E100" s="150" t="s">
        <v>231</v>
      </c>
      <c r="F100" s="150">
        <v>70</v>
      </c>
      <c r="G100" s="150" t="s">
        <v>235</v>
      </c>
      <c r="H100" s="150" t="s">
        <v>136</v>
      </c>
      <c r="I100" s="150" t="s">
        <v>132</v>
      </c>
      <c r="J100" s="150" t="s">
        <v>132</v>
      </c>
      <c r="K100" s="150" t="s">
        <v>132</v>
      </c>
      <c r="L100" s="150" t="s">
        <v>132</v>
      </c>
      <c r="M100" s="150" t="s">
        <v>132</v>
      </c>
      <c r="N100" s="150" t="s">
        <v>132</v>
      </c>
      <c r="O100" s="150" t="s">
        <v>132</v>
      </c>
      <c r="P100"/>
    </row>
    <row r="101" spans="1:16">
      <c r="M101" s="152"/>
      <c r="O101" s="152"/>
      <c r="P101" s="152"/>
    </row>
    <row r="102" spans="1:16">
      <c r="M102" s="152"/>
      <c r="O102" s="152"/>
      <c r="P102" s="152"/>
    </row>
    <row r="103" spans="1:16">
      <c r="M103" s="152"/>
      <c r="O103" s="152"/>
      <c r="P103" s="152"/>
    </row>
    <row r="104" spans="1:16">
      <c r="M104" s="152"/>
      <c r="O104" s="152"/>
      <c r="P104" s="152"/>
    </row>
    <row r="105" spans="1:16">
      <c r="M105" s="152"/>
      <c r="O105" s="152"/>
      <c r="P105" s="152"/>
    </row>
    <row r="107" spans="1:16">
      <c r="M107" s="152"/>
      <c r="O107" s="152"/>
      <c r="P107" s="152"/>
    </row>
    <row r="108" spans="1:16">
      <c r="M108" s="152"/>
      <c r="O108" s="152"/>
      <c r="P108" s="152"/>
    </row>
    <row r="109" spans="1:16">
      <c r="M109" s="152"/>
      <c r="O109" s="152"/>
      <c r="P109" s="152"/>
    </row>
    <row r="110" spans="1:16">
      <c r="M110" s="152"/>
      <c r="O110" s="152"/>
      <c r="P110" s="152"/>
    </row>
    <row r="111" spans="1:16">
      <c r="M111" s="152"/>
      <c r="O111" s="152"/>
      <c r="P111" s="152"/>
    </row>
    <row r="112" spans="1:16">
      <c r="M112" s="152"/>
      <c r="O112" s="152"/>
      <c r="P112" s="152"/>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31</vt:i4>
      </vt:variant>
    </vt:vector>
  </HeadingPairs>
  <TitlesOfParts>
    <vt:vector size="31" baseType="lpstr">
      <vt:lpstr>READ ME</vt:lpstr>
      <vt:lpstr>Papers matrix</vt:lpstr>
      <vt:lpstr>Data sheet</vt:lpstr>
      <vt:lpstr>Metafor sheet</vt:lpstr>
      <vt:lpstr>Col 2</vt:lpstr>
      <vt:lpstr>Col</vt:lpstr>
      <vt:lpstr>SDW</vt:lpstr>
      <vt:lpstr>RDW</vt:lpstr>
      <vt:lpstr>Shoot P</vt:lpstr>
      <vt:lpstr>Root P</vt:lpstr>
      <vt:lpstr>Shoot Zn</vt:lpstr>
      <vt:lpstr>Root Zn</vt:lpstr>
      <vt:lpstr>Shoot K</vt:lpstr>
      <vt:lpstr>Root K</vt:lpstr>
      <vt:lpstr>Shoot Ca</vt:lpstr>
      <vt:lpstr>Root Ca</vt:lpstr>
      <vt:lpstr>Shoot Cu</vt:lpstr>
      <vt:lpstr>Root Cu</vt:lpstr>
      <vt:lpstr>Shoot Mn</vt:lpstr>
      <vt:lpstr>Root Mn</vt:lpstr>
      <vt:lpstr>Shoot Mg</vt:lpstr>
      <vt:lpstr>Root Mg</vt:lpstr>
      <vt:lpstr>Shoot Na</vt:lpstr>
      <vt:lpstr>Root Na</vt:lpstr>
      <vt:lpstr>Shoot Fe</vt:lpstr>
      <vt:lpstr>Root Fe</vt:lpstr>
      <vt:lpstr>Shoot S</vt:lpstr>
      <vt:lpstr>Root S</vt:lpstr>
      <vt:lpstr>Shoot B</vt:lpstr>
      <vt:lpstr>Root B</vt:lpstr>
      <vt:lpstr>Inoculated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Watts-Williams</dc:creator>
  <cp:lastModifiedBy>Timothy Cavagnaro</cp:lastModifiedBy>
  <dcterms:created xsi:type="dcterms:W3CDTF">2014-01-15T01:26:51Z</dcterms:created>
  <dcterms:modified xsi:type="dcterms:W3CDTF">2018-02-14T05:22:04Z</dcterms:modified>
</cp:coreProperties>
</file>