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mat House\Downloads\"/>
    </mc:Choice>
  </mc:AlternateContent>
  <xr:revisionPtr revIDLastSave="0" documentId="13_ncr:1_{C7682B52-1D33-4086-AA07-AF820E8DC6B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abbreviations" sheetId="2" r:id="rId1"/>
    <sheet name="data" sheetId="6" r:id="rId2"/>
    <sheet name="mix ingredient details" sheetId="3" r:id="rId3"/>
    <sheet name="data analysis" sheetId="4" r:id="rId4"/>
  </sheets>
  <definedNames>
    <definedName name="_xlnm._FilterDatabase" localSheetId="1" hidden="1">data!$A$2:$Z$25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2" i="4" l="1"/>
  <c r="E141" i="4" s="1"/>
  <c r="B27" i="4"/>
  <c r="B18" i="4"/>
  <c r="B17" i="4"/>
  <c r="B55" i="4"/>
  <c r="B57" i="4"/>
  <c r="B54" i="4"/>
  <c r="G24" i="6"/>
  <c r="G22" i="6"/>
  <c r="G21" i="6"/>
  <c r="G20" i="6"/>
  <c r="G19" i="6"/>
  <c r="G18" i="6"/>
  <c r="G16" i="6"/>
  <c r="G14" i="6"/>
  <c r="G13" i="6"/>
  <c r="G12" i="6"/>
  <c r="G10" i="6"/>
  <c r="G7" i="6"/>
  <c r="G5" i="6"/>
  <c r="G4" i="6"/>
  <c r="G2" i="6"/>
  <c r="D151" i="4"/>
  <c r="E147" i="4" s="1"/>
  <c r="B65" i="4"/>
  <c r="B70" i="4" s="1"/>
  <c r="C64" i="4" s="1"/>
  <c r="B125" i="4"/>
  <c r="C124" i="4" s="1"/>
  <c r="A103" i="4"/>
  <c r="A95" i="4"/>
  <c r="A98" i="4"/>
  <c r="A105" i="4"/>
  <c r="A91" i="4"/>
  <c r="B91" i="4"/>
  <c r="B108" i="4" s="1"/>
  <c r="C84" i="4" s="1"/>
  <c r="B132" i="4"/>
  <c r="C130" i="4" s="1"/>
  <c r="D78" i="4"/>
  <c r="E76" i="4" s="1"/>
  <c r="D48" i="4"/>
  <c r="E37" i="4" s="1"/>
  <c r="B48" i="4"/>
  <c r="C47" i="4" s="1"/>
  <c r="O27" i="6"/>
  <c r="W26" i="6"/>
  <c r="W25" i="6"/>
  <c r="Z25" i="6"/>
  <c r="W24" i="6"/>
  <c r="O24" i="6"/>
  <c r="Z24" i="6"/>
  <c r="Y20" i="6"/>
  <c r="Z20" i="6"/>
  <c r="W22" i="6"/>
  <c r="W21" i="6"/>
  <c r="W18" i="6"/>
  <c r="W15" i="6"/>
  <c r="W14" i="6"/>
  <c r="W12" i="6"/>
  <c r="W10" i="6"/>
  <c r="W5" i="6"/>
  <c r="W4" i="6"/>
  <c r="B78" i="4"/>
  <c r="C76" i="4" s="1"/>
  <c r="E137" i="4" l="1"/>
  <c r="E138" i="4"/>
  <c r="E139" i="4"/>
  <c r="E140" i="4"/>
  <c r="B59" i="4"/>
  <c r="C56" i="4" s="1"/>
  <c r="B30" i="4"/>
  <c r="E148" i="4"/>
  <c r="E150" i="4"/>
  <c r="E149" i="4"/>
  <c r="C123" i="4"/>
  <c r="C95" i="4"/>
  <c r="C94" i="4"/>
  <c r="C83" i="4"/>
  <c r="C106" i="4"/>
  <c r="C93" i="4"/>
  <c r="C105" i="4"/>
  <c r="C104" i="4"/>
  <c r="C91" i="4"/>
  <c r="C102" i="4"/>
  <c r="C89" i="4"/>
  <c r="C100" i="4"/>
  <c r="C88" i="4"/>
  <c r="C92" i="4"/>
  <c r="C103" i="4"/>
  <c r="C90" i="4"/>
  <c r="C101" i="4"/>
  <c r="C99" i="4"/>
  <c r="C87" i="4"/>
  <c r="C98" i="4"/>
  <c r="C86" i="4"/>
  <c r="C97" i="4"/>
  <c r="C85" i="4"/>
  <c r="C111" i="4" s="1"/>
  <c r="C107" i="4"/>
  <c r="C96" i="4"/>
  <c r="C82" i="4"/>
  <c r="C131" i="4"/>
  <c r="C129" i="4"/>
  <c r="E146" i="4"/>
  <c r="E75" i="4"/>
  <c r="C69" i="4"/>
  <c r="C68" i="4"/>
  <c r="C66" i="4"/>
  <c r="C65" i="4"/>
  <c r="C67" i="4"/>
  <c r="C63" i="4"/>
  <c r="E41" i="4"/>
  <c r="E74" i="4"/>
  <c r="E40" i="4"/>
  <c r="E36" i="4"/>
  <c r="E35" i="4"/>
  <c r="E77" i="4"/>
  <c r="E34" i="4"/>
  <c r="C41" i="4"/>
  <c r="E47" i="4"/>
  <c r="E46" i="4"/>
  <c r="E45" i="4"/>
  <c r="E44" i="4"/>
  <c r="E43" i="4"/>
  <c r="E42" i="4"/>
  <c r="E39" i="4"/>
  <c r="E38" i="4"/>
  <c r="C75" i="4"/>
  <c r="C74" i="4"/>
  <c r="C77" i="4"/>
  <c r="C46" i="4"/>
  <c r="C40" i="4"/>
  <c r="C36" i="4"/>
  <c r="C44" i="4"/>
  <c r="C45" i="4"/>
  <c r="C35" i="4"/>
  <c r="C37" i="4"/>
  <c r="C43" i="4"/>
  <c r="C34" i="4"/>
  <c r="C42" i="4"/>
  <c r="C39" i="4"/>
  <c r="C38" i="4"/>
  <c r="C55" i="4" l="1"/>
  <c r="C54" i="4"/>
  <c r="C20" i="4"/>
  <c r="C22" i="4"/>
  <c r="C23" i="4"/>
  <c r="C24" i="4"/>
  <c r="C25" i="4"/>
  <c r="C28" i="4"/>
  <c r="C29" i="4"/>
  <c r="C26" i="4"/>
  <c r="C21" i="4"/>
  <c r="C57" i="4"/>
  <c r="C53" i="4"/>
  <c r="C27" i="4"/>
  <c r="C58" i="4"/>
  <c r="C52" i="4"/>
  <c r="C16" i="4"/>
  <c r="C19" i="4"/>
  <c r="C18" i="4"/>
  <c r="C15" i="4"/>
  <c r="C17" i="4"/>
  <c r="C114" i="4"/>
  <c r="C110" i="4"/>
  <c r="C113" i="4"/>
  <c r="C14" i="4"/>
  <c r="C115" i="4"/>
  <c r="C117" i="4"/>
  <c r="C118" i="4"/>
  <c r="C116" i="4"/>
  <c r="C119" i="4"/>
  <c r="C112" i="4"/>
</calcChain>
</file>

<file path=xl/sharedStrings.xml><?xml version="1.0" encoding="utf-8"?>
<sst xmlns="http://schemas.openxmlformats.org/spreadsheetml/2006/main" count="1000" uniqueCount="565">
  <si>
    <t>Reference</t>
  </si>
  <si>
    <t>O’neil &amp; Devlin (1999)</t>
  </si>
  <si>
    <t>Fibreglass</t>
  </si>
  <si>
    <t>-</t>
  </si>
  <si>
    <t>Reinforced beam</t>
  </si>
  <si>
    <t>18 years</t>
  </si>
  <si>
    <t>229 x 229 x 1,143</t>
  </si>
  <si>
    <t>Cylinder</t>
  </si>
  <si>
    <t>Granju &amp; Balouch (2005)</t>
  </si>
  <si>
    <t>100 x 100 x 500</t>
  </si>
  <si>
    <t>PC</t>
  </si>
  <si>
    <t>???</t>
  </si>
  <si>
    <t>1 year</t>
  </si>
  <si>
    <t>Graybeal &amp; Tanesi (2007)</t>
  </si>
  <si>
    <t>Ø102 x 76</t>
  </si>
  <si>
    <t>UC</t>
  </si>
  <si>
    <t>90 days</t>
  </si>
  <si>
    <t>Graeff et al. (2009)</t>
  </si>
  <si>
    <t>Prism</t>
  </si>
  <si>
    <t>3% NaCl solution</t>
  </si>
  <si>
    <t>Balauch et al. (2010)</t>
  </si>
  <si>
    <t>Half-cut prism</t>
  </si>
  <si>
    <t>100 x 100 x 250</t>
  </si>
  <si>
    <t>7 months</t>
  </si>
  <si>
    <t>Steel hooked fibre</t>
  </si>
  <si>
    <t>Mihashi et al. (2011)</t>
  </si>
  <si>
    <t>Beam with a single polished rebar embedded at 20mm depth from bottom surface</t>
  </si>
  <si>
    <t>100 x 100 x 400</t>
  </si>
  <si>
    <t xml:space="preserve">1 year </t>
  </si>
  <si>
    <t>Hashimoto et al. (2013)</t>
  </si>
  <si>
    <t>Steel straight fibre</t>
  </si>
  <si>
    <t>Prism with a 30 mm deep groove at midspan tension zone</t>
  </si>
  <si>
    <t>Sadeghi-Pouya et al. (2013)</t>
  </si>
  <si>
    <t>Steel fibre</t>
  </si>
  <si>
    <t>Anandan et al. (2014)</t>
  </si>
  <si>
    <t>43.7 ~ 49.8</t>
  </si>
  <si>
    <t>6 months</t>
  </si>
  <si>
    <t>Abbas et al. (2015)</t>
  </si>
  <si>
    <t>Alizade et al. (2015)</t>
  </si>
  <si>
    <t>Ø75 x 150</t>
  </si>
  <si>
    <t>Single fibre embedded in cylinder aligned to loading direction</t>
  </si>
  <si>
    <t>Ø50 x 50</t>
  </si>
  <si>
    <t>Berrocal st al. (2015)</t>
  </si>
  <si>
    <t>Blunt et al. (2015)</t>
  </si>
  <si>
    <t>152 x 152 x 608</t>
  </si>
  <si>
    <t>Hwang et al. (2015)</t>
  </si>
  <si>
    <t>Tran et al. (2015)</t>
  </si>
  <si>
    <t>Masmoudi &amp; Bouaziz (2016)</t>
  </si>
  <si>
    <t xml:space="preserve">28 days </t>
  </si>
  <si>
    <t>Yoo et al. (2020a)</t>
  </si>
  <si>
    <t>UHPC</t>
  </si>
  <si>
    <t>Yoo et al. (2020b)</t>
  </si>
  <si>
    <t>Stainless steel fibre</t>
  </si>
  <si>
    <t>Chopped steel fibre</t>
  </si>
  <si>
    <t>Type</t>
  </si>
  <si>
    <t>Recycled industrial fibre from tyre</t>
  </si>
  <si>
    <t>Single</t>
  </si>
  <si>
    <t>PU</t>
  </si>
  <si>
    <t>PW</t>
  </si>
  <si>
    <t>Crimped fibre</t>
  </si>
  <si>
    <t>Steel fibres and polyvinyl alcohol (PVA) fibre composition</t>
  </si>
  <si>
    <t>Steel twisted fibre</t>
  </si>
  <si>
    <t>Uncorroded</t>
  </si>
  <si>
    <t>Pre-corroded</t>
  </si>
  <si>
    <t>Pre-corroded but washed</t>
  </si>
  <si>
    <t>Pre-corroded, unwashed</t>
  </si>
  <si>
    <t>SHF</t>
  </si>
  <si>
    <t>SSF</t>
  </si>
  <si>
    <t>StSF</t>
  </si>
  <si>
    <t>Brass-coated steel fibre</t>
  </si>
  <si>
    <t>BCSF</t>
  </si>
  <si>
    <t>ChSF</t>
  </si>
  <si>
    <t>FG</t>
  </si>
  <si>
    <t>SF</t>
  </si>
  <si>
    <t>IF</t>
  </si>
  <si>
    <t>RIFT</t>
  </si>
  <si>
    <t>Polyethylene fibre</t>
  </si>
  <si>
    <t>PF</t>
  </si>
  <si>
    <t>PF:SF</t>
  </si>
  <si>
    <t>Copper-coated steel fibre</t>
  </si>
  <si>
    <t>CCSF</t>
  </si>
  <si>
    <t>CrF</t>
  </si>
  <si>
    <t>HySF</t>
  </si>
  <si>
    <t>SF:PVA</t>
  </si>
  <si>
    <t>STwF</t>
  </si>
  <si>
    <t>Binder</t>
  </si>
  <si>
    <t>Coarse Ag</t>
  </si>
  <si>
    <t>Fine Ag</t>
  </si>
  <si>
    <t>Liquid</t>
  </si>
  <si>
    <t>Fibre</t>
  </si>
  <si>
    <t>Cement</t>
  </si>
  <si>
    <t>Matrix designation</t>
  </si>
  <si>
    <t>Sand</t>
  </si>
  <si>
    <t>Limestone</t>
  </si>
  <si>
    <t>Water</t>
  </si>
  <si>
    <t>Admixture</t>
  </si>
  <si>
    <t>Water reduced admixture</t>
  </si>
  <si>
    <t>BCSF, StSF, ChSF, FG</t>
  </si>
  <si>
    <t>FRC</t>
  </si>
  <si>
    <t>Gravel</t>
  </si>
  <si>
    <t>Cement, Silica fume</t>
  </si>
  <si>
    <t>Fine sand, ground quartz</t>
  </si>
  <si>
    <t>Superplasticizer</t>
  </si>
  <si>
    <t>Superplasticizer, Accelerator</t>
  </si>
  <si>
    <t>Cement, GGBS, Secondary constituents, Calcium Sulphate</t>
  </si>
  <si>
    <t>14mm Crushed Aggregate</t>
  </si>
  <si>
    <t>Additive, Superplasticizer</t>
  </si>
  <si>
    <t>IF, RIFT</t>
  </si>
  <si>
    <t>SSF, SHF</t>
  </si>
  <si>
    <t>FRCC</t>
  </si>
  <si>
    <t>HFRCC</t>
  </si>
  <si>
    <t>Silica sand</t>
  </si>
  <si>
    <t>UHPFRC</t>
  </si>
  <si>
    <t>UPFRC</t>
  </si>
  <si>
    <t>Natural siliceous sand</t>
  </si>
  <si>
    <t>HPFRC</t>
  </si>
  <si>
    <t>Manufactured sand</t>
  </si>
  <si>
    <t>Cement, GGBS in various proportion</t>
  </si>
  <si>
    <t>Quartz sand, Quartz powder</t>
  </si>
  <si>
    <t>Water?, Corrosion inhibitor</t>
  </si>
  <si>
    <t>Mortar</t>
  </si>
  <si>
    <t>Crushed stone</t>
  </si>
  <si>
    <t>Sand, limestone filler</t>
  </si>
  <si>
    <t>Superplasticiser, Air entrainer</t>
  </si>
  <si>
    <t>HyFRC</t>
  </si>
  <si>
    <t>Fine aggregate</t>
  </si>
  <si>
    <t>High strength fibre reinforced concrete</t>
  </si>
  <si>
    <t>HSFRC</t>
  </si>
  <si>
    <t>mortar</t>
  </si>
  <si>
    <t>concrete</t>
  </si>
  <si>
    <t>SHF, CrF, CrF(PC)</t>
  </si>
  <si>
    <t>Cement, Fly ash, Silica fume</t>
  </si>
  <si>
    <t>Calcium nitrate (inhibitor), Superplasticizer</t>
  </si>
  <si>
    <t>SSF, SSF(PU), SSF(PW)</t>
  </si>
  <si>
    <t>SSF(PU), SSF(PU)</t>
  </si>
  <si>
    <t>SCUHPC</t>
  </si>
  <si>
    <t>Self-consolidated UHPC</t>
  </si>
  <si>
    <t>Silica sand, Silica flower</t>
  </si>
  <si>
    <t>AR</t>
  </si>
  <si>
    <t>L</t>
  </si>
  <si>
    <t>Fibre length</t>
  </si>
  <si>
    <t>Fibre aspect ratio</t>
  </si>
  <si>
    <t>Ø</t>
  </si>
  <si>
    <t>Fibre dia meter</t>
  </si>
  <si>
    <t>Ø 0.8 x L 60</t>
  </si>
  <si>
    <t>Ø 0.2 x L 12.7</t>
  </si>
  <si>
    <t>Ø 0.012 x L 6</t>
  </si>
  <si>
    <t>Ø 0.012 x L 6 (PF)
Ø 0.4 x L 32 (SF)</t>
  </si>
  <si>
    <t>Ø 0.2 x L 15</t>
  </si>
  <si>
    <t>Ø 0.75 x L 60</t>
  </si>
  <si>
    <t>Ø 0.2 x L (8, 12, 16)</t>
  </si>
  <si>
    <t>Ø 0.39 x L 15</t>
  </si>
  <si>
    <t>Height of triangle</t>
  </si>
  <si>
    <r>
      <rPr>
        <sz val="10"/>
        <color theme="1"/>
        <rFont val="Calibri"/>
        <family val="2"/>
      </rPr>
      <t>Δ</t>
    </r>
    <r>
      <rPr>
        <vertAlign val="subscript"/>
        <sz val="10"/>
        <color theme="1"/>
        <rFont val="Times New Roman"/>
        <family val="1"/>
      </rPr>
      <t>h</t>
    </r>
  </si>
  <si>
    <t>Ø 0.3 x L 30</t>
  </si>
  <si>
    <t>Fibre: Other</t>
  </si>
  <si>
    <t>Fibre: Corrosion status</t>
  </si>
  <si>
    <t>Fibre: Type</t>
  </si>
  <si>
    <t>Pre-cracked</t>
  </si>
  <si>
    <t>Uncracked</t>
  </si>
  <si>
    <t>Specimen: Crack condition</t>
  </si>
  <si>
    <t>40 and 60% of ultimate load at 28-day age</t>
  </si>
  <si>
    <t>UC, PC</t>
  </si>
  <si>
    <t>loading up to 0.1% tensile strain</t>
  </si>
  <si>
    <t>0.1, 0.2, 0.3, 0.4 (before unloading)
0.02 ~ 0.06 (after unloading)</t>
  </si>
  <si>
    <t>Dog bone</t>
  </si>
  <si>
    <t>150 x 200 x 2050</t>
  </si>
  <si>
    <t>Ø50 x 150</t>
  </si>
  <si>
    <t>75 x 37.5 x 450</t>
  </si>
  <si>
    <t>2 and 6 months</t>
  </si>
  <si>
    <r>
      <t>10% Cl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solution</t>
    </r>
  </si>
  <si>
    <t>Year</t>
  </si>
  <si>
    <t>Ø Not Available x L 25.4</t>
  </si>
  <si>
    <t>52.3, 55.4</t>
  </si>
  <si>
    <t>2.21 - 6.43</t>
  </si>
  <si>
    <t>Flexural toughness</t>
  </si>
  <si>
    <t>Ø102 x 204</t>
  </si>
  <si>
    <t>3.5 g/l NaCl fog</t>
  </si>
  <si>
    <r>
      <t>40 kg/m</t>
    </r>
    <r>
      <rPr>
        <vertAlign val="superscript"/>
        <sz val="10"/>
        <rFont val="Times New Roman"/>
        <family val="1"/>
      </rPr>
      <t>3</t>
    </r>
  </si>
  <si>
    <t>0.04 mass ratio</t>
  </si>
  <si>
    <t>0.01 mass ratio</t>
  </si>
  <si>
    <t>0.8 (loading), 0.5 (unloading)</t>
  </si>
  <si>
    <t>loaded up to crack opening 0.8mm</t>
  </si>
  <si>
    <t>2% by volume</t>
  </si>
  <si>
    <t>Industrial fibre with a cone at each end</t>
  </si>
  <si>
    <t>150 x 150 x 550 (Prism), 150 x 150 x 150 (Cube)</t>
  </si>
  <si>
    <t>5 months</t>
  </si>
  <si>
    <t>Prism with 25mm notch, Cube</t>
  </si>
  <si>
    <t>35g/l NaCl fog</t>
  </si>
  <si>
    <t>Counting corroded fibres at surface up to 1mm depth</t>
  </si>
  <si>
    <t>PE</t>
  </si>
  <si>
    <t>PE:SC</t>
  </si>
  <si>
    <t>Polythelene fibre-steel cord (1:1) composition</t>
  </si>
  <si>
    <t>1.5% by volume</t>
  </si>
  <si>
    <t>0.75% PE and 0.75% SC by volume</t>
  </si>
  <si>
    <t>corrosion was measured by current measurement (Faraday’s electromagnetism law of induction)</t>
  </si>
  <si>
    <t>0.1, 0.5, 1mm</t>
  </si>
  <si>
    <t>loaded up to design crack openings</t>
  </si>
  <si>
    <t>UCorr</t>
  </si>
  <si>
    <t>PCorr</t>
  </si>
  <si>
    <t>3% NaCl per weight of cement</t>
  </si>
  <si>
    <t>Cement/ Cement:Silica fume/ Cement:Fly ash/ Cement:GGBS</t>
  </si>
  <si>
    <r>
      <t>Crushed limestone (</t>
    </r>
    <r>
      <rPr>
        <sz val="10"/>
        <color theme="1"/>
        <rFont val="Calibri"/>
        <family val="2"/>
      </rPr>
      <t>≤</t>
    </r>
    <r>
      <rPr>
        <sz val="10"/>
        <color theme="1"/>
        <rFont val="Times New Roman"/>
        <family val="1"/>
      </rPr>
      <t>10mm)</t>
    </r>
  </si>
  <si>
    <t>70 – 87</t>
  </si>
  <si>
    <t>Cube, Cylinder, Prism</t>
  </si>
  <si>
    <t>100 x 100 x 100 (cube), Ø150 x 300 (cylinder), 510 x 100 x 100 (prism)</t>
  </si>
  <si>
    <t>10.34 - 19.43</t>
  </si>
  <si>
    <t>1 month</t>
  </si>
  <si>
    <t>Crushed granite (12 - 20mm)</t>
  </si>
  <si>
    <t>Cube, Prism</t>
  </si>
  <si>
    <t>100 x 100 x 100 (cube), 500 x 100 x 100 (prism)</t>
  </si>
  <si>
    <t>uncertain</t>
  </si>
  <si>
    <t>2.64 - 3.31</t>
  </si>
  <si>
    <t>Cylinder, Prism</t>
  </si>
  <si>
    <t>Tests for corrosion evaluation</t>
  </si>
  <si>
    <t>151 - 173</t>
  </si>
  <si>
    <t>9.4 - 39.8 (splitting)</t>
  </si>
  <si>
    <t>Ø75 x 150 (compressive),
Ø75 x 150 (splitting),
100 x 100 x 400 (flexural),
Ø100 x 50 (RCPT),
Ø100 x 75 (ponding)</t>
  </si>
  <si>
    <t>Compressive, splitting tensile, flexural strengths, RCPT, salt ponding</t>
  </si>
  <si>
    <t>1, 3, 5, 6 months (immersion),
6 hours  (RCPT),
0 and 180 days (ponding)</t>
  </si>
  <si>
    <t>12,
12,
3,
10,
6</t>
  </si>
  <si>
    <t>Ø 0.8 x L 50</t>
  </si>
  <si>
    <t>Ø 0.3 x L 20</t>
  </si>
  <si>
    <t>Flexural strength</t>
  </si>
  <si>
    <t>UC, PC
PC</t>
  </si>
  <si>
    <t>UCorr,
PCorr</t>
  </si>
  <si>
    <t>75 x 12.5 x 300 (UCorr, PCorr),
75 x 37.5 x 450 (UCorr)</t>
  </si>
  <si>
    <t>2 and 6 months (UCorr),
3 months (PCorr)</t>
  </si>
  <si>
    <t>Fibre pull-out</t>
  </si>
  <si>
    <t>until 12.5, 50% weight loss.</t>
  </si>
  <si>
    <t>12.5% PU,
50% PU</t>
  </si>
  <si>
    <t>6.99 - 10.69 (flexural, UCorr),
4.81 (flexural, PCorr)</t>
  </si>
  <si>
    <t>6.99 - 10.69 (flexural, UCorr)</t>
  </si>
  <si>
    <t>8.42 - 10.86 (flexural, UCorr),
7.04 - 7.81 (flexural, PCorr)</t>
  </si>
  <si>
    <t>8.42 - 10.86 (flexural, UCorr)</t>
  </si>
  <si>
    <t>3,
3</t>
  </si>
  <si>
    <t>3, 3,
3</t>
  </si>
  <si>
    <t>4,
4</t>
  </si>
  <si>
    <t>Ø (0.74 ~ 0.78) x L 50,
Ø (0.32 ~ 0.64) x L 50,
Embedment length = 25</t>
  </si>
  <si>
    <t>not measured</t>
  </si>
  <si>
    <t>loaded up to 3mm deflection at mid-span for PC</t>
  </si>
  <si>
    <t>not reported</t>
  </si>
  <si>
    <t>32.96 - 43.69 (estimated average pull-out stress for 12.5% PU)
fibre broke at pull-out stress (50% PU)</t>
  </si>
  <si>
    <t>(a) not-loaded;
(b) loaded once to develop crack, then not-loaded;
(c) 5 times cyclic loaded, then not-loaded;
(d) sustained loaded after precracking</t>
  </si>
  <si>
    <t>SyF</t>
  </si>
  <si>
    <t>Synthetic fibre</t>
  </si>
  <si>
    <t>HyF</t>
  </si>
  <si>
    <t>Hybrid fibre</t>
  </si>
  <si>
    <t>18 weeks (UC-loading (a)),
20 weeks (PC-loading (b),(c)),
22 weeks (PC-loading (d)).</t>
  </si>
  <si>
    <t>SF,
HyF,
SyF</t>
  </si>
  <si>
    <t>1100 (SF),
1000 (HyF),
800 (SyF-PVA)</t>
  </si>
  <si>
    <t>210 (SF),
30 (HyF),
29 (SyF-PVA)</t>
  </si>
  <si>
    <t>Ø 0.55 x L 35 (SF),
Ø 0.2 x L 18 (HyF),
Ø 0.66 x L 30 (SyF-PVA)</t>
  </si>
  <si>
    <t>100 x 180 x 1100 (RC beam),
150 x 150 x 150 (cube),
Ø100 x 50 (cylinder),
150 x 150 x 550 (prism)</t>
  </si>
  <si>
    <t>3+3+3 (UC: loading (a): SF+HyF+SyF),
4+4+4 (PC: loading (b): SF+HyF+SyF),
4+4 (PC: loading (c): SF+HyF),
4 (PC: loading (d): SF)</t>
  </si>
  <si>
    <t>61 (SF),
57.7 (HyF),
57.4 (SyF-PVA)</t>
  </si>
  <si>
    <r>
      <t>Reinforced (3Ø10</t>
    </r>
    <r>
      <rPr>
        <sz val="11.5"/>
        <rFont val="Times New Roman"/>
        <family val="1"/>
      </rPr>
      <t>)</t>
    </r>
    <r>
      <rPr>
        <sz val="10"/>
        <rFont val="Times New Roman"/>
        <family val="1"/>
      </rPr>
      <t xml:space="preserve"> beam,
Cube,
Cylinder (RCPT),
Prism</t>
    </r>
  </si>
  <si>
    <t>Ø 0.55 x L 30 (SHF-1),
Ø 0.75 x L 60 (SHF-2),
Ø 0.04 x L 8 (PVA)</t>
  </si>
  <si>
    <t>1100 (SHF-1),
1050 (SHF-2),
1600 (PVA)</t>
  </si>
  <si>
    <t>200 (SHF-1, SHF-2),
43 (PVA)</t>
  </si>
  <si>
    <t>SHF-1:SHF-2:PVA</t>
  </si>
  <si>
    <t>0.5%(SF):0.35%(HyF),
0.15% (HyF),
0.75% (SyF-PVA)
by volume</t>
  </si>
  <si>
    <t>0.5%(SHF-1):0.8(SHF-2):0.2%(PVA)
by volume</t>
  </si>
  <si>
    <t>Three-point load bending,
RCPT,
Half-cell potential monitoring (non-destructive test)</t>
  </si>
  <si>
    <t>four point bending,
measuring corrosion potential (non-destructive test),
chemical test utilizing nitric acid</t>
  </si>
  <si>
    <t>Hybrid fibre reinforced concrete</t>
  </si>
  <si>
    <t>Un-reinforced beam
Reinforced beam</t>
  </si>
  <si>
    <t>3 (un-reinforced),
6 (reinforced)</t>
  </si>
  <si>
    <t>salt ponding technique producing electrochemical cell using embedded rebar as electrodes; salt solution was replaced weekly by vaccuming out; Continuously cured in salt solution, but dried weekly one hour during change of salt solution.</t>
  </si>
  <si>
    <t>&lt; 0.0106</t>
  </si>
  <si>
    <t>9 months</t>
  </si>
  <si>
    <t>5 times cyclic loaded
(maximum load in a cycle = 42.3 kN)</t>
  </si>
  <si>
    <t>9.61 (estimated)</t>
  </si>
  <si>
    <t>100 days (chemical test);
6 h (RCPT)</t>
  </si>
  <si>
    <t>chemical test utilizing nitric acid,
RCPT and Half-cell test</t>
  </si>
  <si>
    <t>3 (chemical test)</t>
  </si>
  <si>
    <t>CI</t>
  </si>
  <si>
    <t>Corrosion inhibitor used in matrix to enhance corrosion resistance</t>
  </si>
  <si>
    <r>
      <t>UCorr without CI in matrix,
UCorr with 25 l/m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CI in matrix</t>
    </r>
  </si>
  <si>
    <t>Ø 0.375 x L 30 (SHF),
Ø 0.3 x L 30 (STwF)</t>
  </si>
  <si>
    <t>2311 (SHF),
2428 (STwF)</t>
  </si>
  <si>
    <t>200 (SHF),
200 (STwF)</t>
  </si>
  <si>
    <t>SHF,
STwF (3 ribs/length)</t>
  </si>
  <si>
    <t>50 x 25</t>
  </si>
  <si>
    <t>direct tensile test, half-cell test, electrical resistivity measurement, stereoscope microscope observation</t>
  </si>
  <si>
    <t>For both SHF, and STwF:
3 (UC without CI),
3 (UC with CI),
3 (PC without CI),
3 (PC with CI)</t>
  </si>
  <si>
    <t>90 (mortar matrix strength only,
HSFRC strength is not reported)</t>
  </si>
  <si>
    <t>7 (SHF),
10 (STwF)</t>
  </si>
  <si>
    <t>Concrete</t>
  </si>
  <si>
    <t>Flexural strength, average crack width, SEM micrographs</t>
  </si>
  <si>
    <t>Type of fibre</t>
  </si>
  <si>
    <t>%</t>
  </si>
  <si>
    <t>Corrosion evaluation</t>
  </si>
  <si>
    <t>Counting surface corrosion spot</t>
  </si>
  <si>
    <t>Chloride ion ingress test</t>
  </si>
  <si>
    <t>Half-cell potential</t>
  </si>
  <si>
    <t>Chemical test using Nitric acid</t>
  </si>
  <si>
    <t>Visualization and SEM</t>
  </si>
  <si>
    <t>Corrosion technique</t>
  </si>
  <si>
    <t>% Fibre by volume</t>
  </si>
  <si>
    <t>Wet and dry cycle</t>
  </si>
  <si>
    <t>Immersion (non-accelerated)</t>
  </si>
  <si>
    <t>Immersion (accelerated)</t>
  </si>
  <si>
    <t>minimum dimension of specimen/fibre length</t>
  </si>
  <si>
    <t>Fibre corrosion condition prior to cast</t>
  </si>
  <si>
    <t># publication</t>
  </si>
  <si>
    <t>Yoo et al. (2020c)</t>
  </si>
  <si>
    <t>Fibre Type</t>
  </si>
  <si>
    <t>Fibre corrosion status prior to cast</t>
  </si>
  <si>
    <t>Fibre Size (mm)</t>
  </si>
  <si>
    <r>
      <t>Fibre</t>
    </r>
    <r>
      <rPr>
        <sz val="10"/>
        <rFont val="Times New Roman"/>
        <family val="1"/>
      </rPr>
      <t> </t>
    </r>
    <r>
      <rPr>
        <b/>
        <sz val="10"/>
        <rFont val="Times New Roman"/>
        <family val="1"/>
      </rPr>
      <t>Quantity</t>
    </r>
  </si>
  <si>
    <t>Mixer Type</t>
  </si>
  <si>
    <t>Mixer Capacity</t>
  </si>
  <si>
    <r>
      <t>Matrix</t>
    </r>
    <r>
      <rPr>
        <sz val="10"/>
        <rFont val="Times New Roman"/>
        <family val="1"/>
      </rPr>
      <t> </t>
    </r>
    <r>
      <rPr>
        <b/>
        <sz val="10"/>
        <rFont val="Times New Roman"/>
        <family val="1"/>
      </rPr>
      <t>designation</t>
    </r>
  </si>
  <si>
    <t>high shear pan mixer</t>
  </si>
  <si>
    <t>120 litre</t>
  </si>
  <si>
    <t>20 litre</t>
  </si>
  <si>
    <t>Hobart type</t>
  </si>
  <si>
    <r>
      <t xml:space="preserve">Concrete </t>
    </r>
    <r>
      <rPr>
        <b/>
        <i/>
        <sz val="10"/>
        <rFont val="Times New Roman"/>
        <family val="1"/>
      </rPr>
      <t>f</t>
    </r>
    <r>
      <rPr>
        <b/>
        <sz val="10"/>
        <rFont val="Times New Roman"/>
        <family val="1"/>
      </rPr>
      <t>c (MPa)</t>
    </r>
  </si>
  <si>
    <r>
      <t xml:space="preserve">Concrete </t>
    </r>
    <r>
      <rPr>
        <b/>
        <i/>
        <sz val="10"/>
        <rFont val="Times New Roman"/>
        <family val="1"/>
      </rPr>
      <t>f</t>
    </r>
    <r>
      <rPr>
        <b/>
        <sz val="10"/>
        <rFont val="Times New Roman"/>
        <family val="1"/>
      </rPr>
      <t>ct (MPa)</t>
    </r>
  </si>
  <si>
    <r>
      <t xml:space="preserve">Fibre </t>
    </r>
    <r>
      <rPr>
        <b/>
        <i/>
        <sz val="10"/>
        <rFont val="Times New Roman"/>
        <family val="1"/>
      </rPr>
      <t>f</t>
    </r>
    <r>
      <rPr>
        <b/>
        <sz val="10"/>
        <rFont val="Times New Roman"/>
        <family val="1"/>
      </rPr>
      <t>y (MPa)</t>
    </r>
  </si>
  <si>
    <r>
      <t xml:space="preserve">Fibre </t>
    </r>
    <r>
      <rPr>
        <b/>
        <i/>
        <sz val="10"/>
        <rFont val="Times New Roman"/>
        <family val="1"/>
      </rPr>
      <t>E</t>
    </r>
    <r>
      <rPr>
        <b/>
        <sz val="10"/>
        <rFont val="Times New Roman"/>
        <family val="1"/>
      </rPr>
      <t xml:space="preserve"> (GPa)</t>
    </r>
  </si>
  <si>
    <t>Specimen Shape</t>
  </si>
  <si>
    <t>Specimen Size (mm)</t>
  </si>
  <si>
    <t>Specimen Crack Condition</t>
  </si>
  <si>
    <t>Pre-cracking controlled by Loading</t>
  </si>
  <si>
    <t>Pre-cracking controlled by Crack Width (mm)</t>
  </si>
  <si>
    <t>Pre-Crack position</t>
  </si>
  <si>
    <t>0.625 (75x12.5x300),
1.876 (75x37.5x450)</t>
  </si>
  <si>
    <t>5.076, 2.564, 19.231</t>
  </si>
  <si>
    <t>Yoo et al. (2021)</t>
  </si>
  <si>
    <t>Corrosion Exposure Duration</t>
  </si>
  <si>
    <t>Corrosion Process</t>
  </si>
  <si>
    <t>ContImm</t>
  </si>
  <si>
    <t>W&amp;D</t>
  </si>
  <si>
    <t>Wet and Dry cycle</t>
  </si>
  <si>
    <t>Wet and Dry weekly cycle</t>
  </si>
  <si>
    <t>Ptop</t>
  </si>
  <si>
    <t>Corrosion solution ponded at top surface of the specimen</t>
  </si>
  <si>
    <t>W(xd)&amp;D(yd)</t>
  </si>
  <si>
    <t>Wet (x day) and Dry (y day) cycle</t>
  </si>
  <si>
    <t>W(4d)&amp;D(3d)</t>
  </si>
  <si>
    <t>Ibottom</t>
  </si>
  <si>
    <t>Specimen bottom was immersed in corrosion solution</t>
  </si>
  <si>
    <r>
      <t>Ibottom (Immersed in Cl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solution up to a height of 5mm from top surface of notch at 20 or 30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C.)</t>
    </r>
  </si>
  <si>
    <t>Continuous Immersion (non-accelerated)</t>
  </si>
  <si>
    <t>AccImm</t>
  </si>
  <si>
    <t>Accelerated immersion using current potential</t>
  </si>
  <si>
    <t>W&amp;Dm</t>
  </si>
  <si>
    <t>Wet and Dry monthly cycle</t>
  </si>
  <si>
    <t>W&amp;Dw</t>
  </si>
  <si>
    <t>Ptop,
ContImm (cube, prism)</t>
  </si>
  <si>
    <t>W&amp;Df</t>
  </si>
  <si>
    <t>Wet and Dry fortnightly cycle</t>
  </si>
  <si>
    <t>High water-cement ratio used to corrode fast</t>
  </si>
  <si>
    <t>HWC</t>
  </si>
  <si>
    <t>HWC and
W&amp;Df (Ucorr),
W(3d)&amp;D(3d) (PCorr)</t>
  </si>
  <si>
    <t>W&amp;Df (UCorr)</t>
  </si>
  <si>
    <t>W&amp;Df (UCorr),
W(3d)&amp;D(3d) (PCorr)</t>
  </si>
  <si>
    <t>W&amp;Di</t>
  </si>
  <si>
    <t>Wet and Dry intermittent cycle</t>
  </si>
  <si>
    <t>W(2w)&amp;D(2w)</t>
  </si>
  <si>
    <t>AccConImm</t>
  </si>
  <si>
    <t>Accelerated continuous immersion using current potential</t>
  </si>
  <si>
    <t>ConImm</t>
  </si>
  <si>
    <r>
      <t>W(8h)&amp;D(16h) at 70% humidity and 20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C</t>
    </r>
  </si>
  <si>
    <t>[1]</t>
  </si>
  <si>
    <t>[2]</t>
  </si>
  <si>
    <t>Corrosion Environment</t>
  </si>
  <si>
    <t>ExtME</t>
  </si>
  <si>
    <t>Extreme Marine Environment</t>
  </si>
  <si>
    <t>3.5g/l NaCl fog</t>
  </si>
  <si>
    <t>3% NaCl sol</t>
  </si>
  <si>
    <r>
      <t>3.4% Cl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sol</t>
    </r>
  </si>
  <si>
    <r>
      <t>3.4% Cl</t>
    </r>
    <r>
      <rPr>
        <vertAlign val="superscript"/>
        <sz val="10"/>
        <color theme="1"/>
        <rFont val="Times New Roman"/>
        <family val="1"/>
      </rPr>
      <t>-</t>
    </r>
    <r>
      <rPr>
        <sz val="10"/>
        <color theme="1"/>
        <rFont val="Times New Roman"/>
        <family val="1"/>
      </rPr>
      <t xml:space="preserve"> sol</t>
    </r>
  </si>
  <si>
    <r>
      <t>3.4% Cl</t>
    </r>
    <r>
      <rPr>
        <vertAlign val="superscript"/>
        <sz val="10"/>
        <color theme="1"/>
        <rFont val="Times New Roman"/>
        <family val="1"/>
      </rPr>
      <t xml:space="preserve">- </t>
    </r>
    <r>
      <rPr>
        <sz val="10"/>
        <color theme="1"/>
        <rFont val="Times New Roman"/>
        <family val="1"/>
      </rPr>
      <t>solution</t>
    </r>
  </si>
  <si>
    <t>3% NaCl/wt.cement</t>
  </si>
  <si>
    <r>
      <t>3% Cl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sol</t>
    </r>
  </si>
  <si>
    <r>
      <t>3, 3.5 and 10% Cl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sol</t>
    </r>
  </si>
  <si>
    <r>
      <t>3.5% Cl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and 3.5% 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  <r>
      <rPr>
        <sz val="10"/>
        <rFont val="Times New Roman"/>
        <family val="1"/>
      </rPr>
      <t xml:space="preserve"> sol</t>
    </r>
  </si>
  <si>
    <r>
      <t>3.5% SO4</t>
    </r>
    <r>
      <rPr>
        <vertAlign val="superscript"/>
        <sz val="10"/>
        <color theme="1"/>
        <rFont val="Times New Roman"/>
        <family val="1"/>
      </rPr>
      <t>2-</t>
    </r>
    <r>
      <rPr>
        <sz val="10"/>
        <color theme="1"/>
        <rFont val="Times New Roman"/>
        <family val="1"/>
      </rPr>
      <t xml:space="preserve"> sol</t>
    </r>
  </si>
  <si>
    <r>
      <t>3.5% SO4</t>
    </r>
    <r>
      <rPr>
        <vertAlign val="superscript"/>
        <sz val="10"/>
        <color theme="1"/>
        <rFont val="Times New Roman"/>
        <family val="1"/>
      </rPr>
      <t>2-</t>
    </r>
    <r>
      <rPr>
        <sz val="10"/>
        <color theme="1"/>
        <rFont val="Times New Roman"/>
        <family val="1"/>
      </rPr>
      <t xml:space="preserve"> solution</t>
    </r>
  </si>
  <si>
    <t>NaCl : water weight ratio is 3:97</t>
  </si>
  <si>
    <t>[3]</t>
  </si>
  <si>
    <t>ASTM G109</t>
  </si>
  <si>
    <t>NaCl:H2O=3:97(wt.)</t>
  </si>
  <si>
    <r>
      <t>4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NaCl sol (chemical test);
3% NaCl (RCPT)</t>
    </r>
  </si>
  <si>
    <r>
      <t>4</t>
    </r>
    <r>
      <rPr>
        <i/>
        <sz val="10"/>
        <color theme="1"/>
        <rFont val="Times New Roman"/>
        <family val="1"/>
      </rPr>
      <t>M</t>
    </r>
    <r>
      <rPr>
        <sz val="10"/>
        <color theme="1"/>
        <rFont val="Times New Roman"/>
        <family val="1"/>
      </rPr>
      <t xml:space="preserve"> NaCl sol</t>
    </r>
  </si>
  <si>
    <t>4 molar NaCl soution</t>
  </si>
  <si>
    <r>
      <t>3.5% Cl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sol</t>
    </r>
  </si>
  <si>
    <t>5.1% Cl- solution with Triethanolamine (C6H15NO3) inhibitor</t>
  </si>
  <si>
    <r>
      <t>5.1% Cl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sol,
5.1% Cl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TEA sol</t>
    </r>
  </si>
  <si>
    <r>
      <t>5.1% Cl</t>
    </r>
    <r>
      <rPr>
        <vertAlign val="superscript"/>
        <sz val="10"/>
        <color theme="1"/>
        <rFont val="Times New Roman"/>
        <family val="1"/>
      </rPr>
      <t xml:space="preserve">- </t>
    </r>
    <r>
      <rPr>
        <sz val="10"/>
        <color theme="1"/>
        <rFont val="Times New Roman"/>
        <family val="1"/>
      </rPr>
      <t>TEA sol</t>
    </r>
  </si>
  <si>
    <t>3.5% NaCl sol</t>
  </si>
  <si>
    <t>up to 105 W(8h)&amp;D(16h) cycle</t>
  </si>
  <si>
    <t>12.5 (BCSF),
9.09 (StSF, ChSF, FG)</t>
  </si>
  <si>
    <t>5.26 (BCSF),
3.94 (StSF),
3.92 (ChSF),
3.94 (FG)</t>
  </si>
  <si>
    <t>Notes for Data Table</t>
  </si>
  <si>
    <t>Corrosion dust was washed immersing in absolute alcohol for 5 mins; then they were cleaned with a wiper applied along the longitudinal direction.</t>
  </si>
  <si>
    <t>[4]</t>
  </si>
  <si>
    <t>Dog bone shape was splitted into two equal part during casting using a thin polythelene film at the centre of the mould.</t>
  </si>
  <si>
    <t>25 x 25</t>
  </si>
  <si>
    <t>5 (UCorr),
20 (PU, 5 for each degree corrosion),
20 (PW, 5 for each degree corrosion)</t>
  </si>
  <si>
    <r>
      <t>Ø 0.3 x L 30
Embedment length = 10, 20 in to both part of Dog bone, embedment angle = 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, 45</t>
    </r>
    <r>
      <rPr>
        <vertAlign val="superscript"/>
        <sz val="10"/>
        <rFont val="Times New Roman"/>
        <family val="1"/>
      </rPr>
      <t>0</t>
    </r>
  </si>
  <si>
    <t>6.4 (estimated average pull-out)</t>
  </si>
  <si>
    <t>SEM,
AFM (roughness),
Fibre pull-out</t>
  </si>
  <si>
    <t>PU,
PW</t>
  </si>
  <si>
    <t>30 x 13</t>
  </si>
  <si>
    <t>not reported (but same author cast 5 for each type of variables in similar type of work.)</t>
  </si>
  <si>
    <t>UC,
PC</t>
  </si>
  <si>
    <t>loaded up to 0.45% tensile strain</t>
  </si>
  <si>
    <t>0.002 - 0.05</t>
  </si>
  <si>
    <t>Until 2, 4, 6, and 8% fibre weight loss prior to cast</t>
  </si>
  <si>
    <t>Until 2, 5, 10, and 15% fibre weight loss prior to cast</t>
  </si>
  <si>
    <t>20 weeks</t>
  </si>
  <si>
    <t>SEM-EDS,
Direct tensile test</t>
  </si>
  <si>
    <t>UCorr,
PU,
PW</t>
  </si>
  <si>
    <t>Ø 0.3 x L 30
Embedment length = 10, 20 in to both part of Dog bone (pull-out)</t>
  </si>
  <si>
    <t>UC, PC (pull-out)</t>
  </si>
  <si>
    <t>ConImm (pull-out)</t>
  </si>
  <si>
    <t>5 to 6 (pull-out, each variable)</t>
  </si>
  <si>
    <t xml:space="preserve">25 x 25 (pull-out)
30 x 13 (direct tensile) with 7.5 mm notch
</t>
  </si>
  <si>
    <t>1.875, 3.75 (pull-out)
0.43 (direct tensile)</t>
  </si>
  <si>
    <t>4 weeks (pull-out, PC)
4 weeks (direct tensile, PC)</t>
  </si>
  <si>
    <t>0.15, 0.5 (pull-out slip before immersion)
0.02 - 0.5 (direct tensile)</t>
  </si>
  <si>
    <t>certain at mids-pan</t>
  </si>
  <si>
    <t>certain at middle</t>
  </si>
  <si>
    <r>
      <t xml:space="preserve">6.4 (average pull-out),
11 (average </t>
    </r>
    <r>
      <rPr>
        <i/>
        <sz val="10"/>
        <rFont val="Times New Roman"/>
        <family val="1"/>
      </rPr>
      <t>f</t>
    </r>
    <r>
      <rPr>
        <sz val="10"/>
        <rFont val="Times New Roman"/>
        <family val="1"/>
      </rPr>
      <t>ct)</t>
    </r>
  </si>
  <si>
    <t>SEM-EDS,
Fibre pull-out,
Direct tensile test</t>
  </si>
  <si>
    <t>BCSF (K),
StSF (P),
ChSF (M),
FG (N, O)</t>
  </si>
  <si>
    <t>Ø 0.41 x L 19 (BCSF),
Ø 0.33 x L 25.4 (StSF),
(0.25 x 0.56) x L 25.5 (ChSF),
(0.25 x 0.56) x L 25.5 (FG)</t>
  </si>
  <si>
    <t>51.1 - 52.2</t>
  </si>
  <si>
    <t>5.09 - 6.72 (BCSF),
4.21 - 6.54 (StSF),
6.62 - 7.16 (ChSF),
6.62 - 7.16 (FG)</t>
  </si>
  <si>
    <t>2 (BCSF),
2 (StSF),
2 (ChSF),
4 (FG)</t>
  </si>
  <si>
    <t>15 (compression),
15 (splitting tensile)</t>
  </si>
  <si>
    <t>PC at 3 locations</t>
  </si>
  <si>
    <t>Unsealed cracked prism,
Sealed cracked prism</t>
  </si>
  <si>
    <t>7 (unsealed),
7 (sealed)</t>
  </si>
  <si>
    <t>Flexural</t>
  </si>
  <si>
    <t>Compression,
Splitting</t>
  </si>
  <si>
    <t>2% by volume
(6.2% by weight)</t>
  </si>
  <si>
    <t>0.03 (at least)</t>
  </si>
  <si>
    <t>RCPT,
Cl ion acid test at 13, 25, 38, 51, 64, 76mm depth from ponded surface</t>
  </si>
  <si>
    <t>12specimens x 6depth=
72</t>
  </si>
  <si>
    <t>not applicable for UC</t>
  </si>
  <si>
    <t>2% by mass (IF),
6% by mass (RIFT)</t>
  </si>
  <si>
    <t>AR 1/54 (IF),
L 3 to 11 (RIFT)</t>
  </si>
  <si>
    <t>50 - 14.29 (RIFT)</t>
  </si>
  <si>
    <t>5 (flexural)</t>
  </si>
  <si>
    <t>7.69 (SSF),
3.33 (SHF)</t>
  </si>
  <si>
    <t>SSF,
SHF</t>
  </si>
  <si>
    <t>Ø 0.17 x L 13 (SSF),
Ø 0.5 x L 30 (SHF)</t>
  </si>
  <si>
    <t>11 (depth of a SSF specimen),
11 (depth of a SHF specimen)</t>
  </si>
  <si>
    <t>Number of Observations</t>
  </si>
  <si>
    <t>Visualization,
Flexural,
Compressive</t>
  </si>
  <si>
    <t>Flexural,
microscopic view on fibre surface extracted from various depth,
Chloride ion ingress test by EPMA analysis</t>
  </si>
  <si>
    <t>Compressive,
Splitting tensile,
Flexural</t>
  </si>
  <si>
    <t>Compressive,
Flexural</t>
  </si>
  <si>
    <t>Compressive</t>
  </si>
  <si>
    <t>3 and 6 months</t>
  </si>
  <si>
    <t>6 (0.1mm initial crack width),
6 (0.5 mm initial crack width),
6 (1mm initial crack width)</t>
  </si>
  <si>
    <t>30 kN flexural load</t>
  </si>
  <si>
    <t># observations</t>
  </si>
  <si>
    <t>% observation</t>
  </si>
  <si>
    <t>IF,
RIFT</t>
  </si>
  <si>
    <t># observation</t>
  </si>
  <si>
    <t>1, 3, 6% by volume</t>
  </si>
  <si>
    <t>Compression</t>
  </si>
  <si>
    <t>Splitting tensile</t>
  </si>
  <si>
    <t>Direct tensile</t>
  </si>
  <si>
    <t>3.33 - 8.33 (2.86 - Beams only)</t>
  </si>
  <si>
    <t>4.69, 6.25, 9.375 (comp, split);
6.25, 8.33, 12.5 (flexure, RPT, ponding)</t>
  </si>
  <si>
    <t>1% mass</t>
  </si>
  <si>
    <t>4% mass</t>
  </si>
  <si>
    <t>1.5% vol</t>
  </si>
  <si>
    <t>2% vol</t>
  </si>
  <si>
    <t>3% vol</t>
  </si>
  <si>
    <t>&lt;1% vol</t>
  </si>
  <si>
    <t>6% vol</t>
  </si>
  <si>
    <t>Pre-Corroded</t>
  </si>
  <si>
    <t>[5]</t>
  </si>
  <si>
    <t>Aspect ratio</t>
  </si>
  <si>
    <t>Berrocal et al. (2015)</t>
  </si>
  <si>
    <t>[80 - 90]</t>
  </si>
  <si>
    <t>[150 - 200]</t>
  </si>
  <si>
    <t>[35 - 45)</t>
  </si>
  <si>
    <t>[45 - 60)</t>
  </si>
  <si>
    <t>[60 - 70)</t>
  </si>
  <si>
    <t>[70 - 80)</t>
  </si>
  <si>
    <t>[100 - 150)</t>
  </si>
  <si>
    <t>[0.43 - 0.75]</t>
  </si>
  <si>
    <t>(0.75 - 1.5]</t>
  </si>
  <si>
    <t>(1.5 - 3]</t>
  </si>
  <si>
    <t>(3 - 4.5]</t>
  </si>
  <si>
    <t>(4.5 - 6]</t>
  </si>
  <si>
    <t>(6 - 7.5]</t>
  </si>
  <si>
    <t>(7.5 - 9]</t>
  </si>
  <si>
    <t>(9 - 10.5]</t>
  </si>
  <si>
    <t>(10.5 - 12]</t>
  </si>
  <si>
    <t>(12 - 20]</t>
  </si>
  <si>
    <t>Brass-coated steel fibre (BCSF)</t>
  </si>
  <si>
    <t>Copper-coated steel fibre (CCSF)</t>
  </si>
  <si>
    <t>Crimped fibre (CrF)</t>
  </si>
  <si>
    <t>Hybrid fibre (HyF)</t>
  </si>
  <si>
    <t>Industrial fibre with a cone at each end (IF)</t>
  </si>
  <si>
    <t>Recycled industrial fibre from tyre (RIFT)</t>
  </si>
  <si>
    <t>Steel fibre mixing with or without other type of fibre (SF)</t>
  </si>
  <si>
    <t>Steel straight fibre (SSF)</t>
  </si>
  <si>
    <t>Chopped steel fibre (ChSF)</t>
  </si>
  <si>
    <t>Steel hooked fibre (SHF)</t>
  </si>
  <si>
    <t>Steel twisted fibre (STwF)</t>
  </si>
  <si>
    <t>Stainless steel fibre (StSF)</t>
  </si>
  <si>
    <t>Synthetic fibre (SyF)</t>
  </si>
  <si>
    <t>Fbre glass (FG)</t>
  </si>
  <si>
    <t>Pre-corroded Unwashed</t>
  </si>
  <si>
    <t>Pre-corroded Washed</t>
  </si>
  <si>
    <t>Pre-cracked (PC)</t>
  </si>
  <si>
    <t>Uncracked (UC)</t>
  </si>
  <si>
    <t>Total</t>
  </si>
  <si>
    <r>
      <rPr>
        <b/>
        <sz val="10"/>
        <color theme="1"/>
        <rFont val="Times New Roman"/>
        <family val="1"/>
      </rPr>
      <t xml:space="preserve">Compressive strength, </t>
    </r>
    <r>
      <rPr>
        <b/>
        <i/>
        <sz val="10"/>
        <color theme="1"/>
        <rFont val="Times New Roman"/>
        <family val="1"/>
      </rPr>
      <t>f</t>
    </r>
    <r>
      <rPr>
        <b/>
        <sz val="10"/>
        <color theme="1"/>
        <rFont val="Times New Roman"/>
        <family val="1"/>
      </rPr>
      <t>'c</t>
    </r>
  </si>
  <si>
    <t>[above is calcuated for uniform bins below.]</t>
  </si>
  <si>
    <t>[20 - 30)</t>
  </si>
  <si>
    <t>[30 - 40)</t>
  </si>
  <si>
    <t>[40 - 50)</t>
  </si>
  <si>
    <t>[50 - 60)</t>
  </si>
  <si>
    <t>[80 - 90)</t>
  </si>
  <si>
    <t>[90 - 100)</t>
  </si>
  <si>
    <t>[100 - 110)</t>
  </si>
  <si>
    <t>[110 - 120)</t>
  </si>
  <si>
    <t>[120 - 130)</t>
  </si>
  <si>
    <t>[130 - 140)</t>
  </si>
  <si>
    <t>[140 - 150)</t>
  </si>
  <si>
    <t>[150 - 160)</t>
  </si>
  <si>
    <t>[150 - 160) = 12 nos;
[160 - 170) = 9 nos;
[170 - 180) = 9 nos</t>
  </si>
  <si>
    <t>[160 - 170)</t>
  </si>
  <si>
    <t>[170 - 180)</t>
  </si>
  <si>
    <t>[Above is calculated for uniform distribution below.]</t>
  </si>
  <si>
    <t>PC and UC specimens</t>
  </si>
  <si>
    <t>Effect of corrosion evaluation</t>
  </si>
  <si>
    <t>Fibre-reinforced concrete</t>
  </si>
  <si>
    <t>Plain mortar</t>
  </si>
  <si>
    <t>Plain concrete</t>
  </si>
  <si>
    <t>High performance fibre reinforced concrete</t>
  </si>
  <si>
    <t>Ultra high performance concrete</t>
  </si>
  <si>
    <t>Ultra high performance fibre reinforced concrete</t>
  </si>
  <si>
    <t>Fig. S1(a)</t>
  </si>
  <si>
    <t>Fig. S1(b)</t>
  </si>
  <si>
    <t>Fig. S1(c)</t>
  </si>
  <si>
    <t>Fig. S1(d)</t>
  </si>
  <si>
    <t>Fig. S1(e)</t>
  </si>
  <si>
    <t>Fig. S1(f)</t>
  </si>
  <si>
    <t>Fig. S1(g)</t>
  </si>
  <si>
    <t>Fig. S1(h)</t>
  </si>
  <si>
    <t>Fig. S1(i)</t>
  </si>
  <si>
    <t>Fig. S1(j)</t>
  </si>
  <si>
    <t>Table: Analysis for Fig. S1(a)</t>
  </si>
  <si>
    <t>Table: Analysis for Fig. S1(b)</t>
  </si>
  <si>
    <t xml:space="preserve">Table: Analaysis for Fig. S1(c) </t>
  </si>
  <si>
    <t>Table: Analysis for Fig. S1(d)</t>
  </si>
  <si>
    <t xml:space="preserve">Table: Analysis for Fig. S1(e)  </t>
  </si>
  <si>
    <t>Table: Analysis for Fig. S1(f)</t>
  </si>
  <si>
    <t>Table: Analysis for Fig. S1(g)</t>
  </si>
  <si>
    <t>Table: Analysis for Fig. S1(h)</t>
  </si>
  <si>
    <t>Table: Analsyis for Fig. S1(i)</t>
  </si>
  <si>
    <t>Table: Analysis for Fig. S1(j)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</si>
</sst>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1.5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left" vertical="center" wrapText="1"/>
    </xf>
    <xf numFmtId="9" fontId="9" fillId="0" borderId="0" xfId="0" applyNumberFormat="1" applyFont="1" applyFill="1" applyBorder="1" applyAlignment="1">
      <alignment horizontal="left" vertical="center" wrapText="1"/>
    </xf>
    <xf numFmtId="1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0" fontId="0" fillId="0" borderId="0" xfId="0" applyFont="1" applyFill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left" vertical="center" wrapText="1"/>
    </xf>
    <xf numFmtId="16" fontId="2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123825</xdr:rowOff>
    </xdr:from>
    <xdr:to>
      <xdr:col>14</xdr:col>
      <xdr:colOff>547370</xdr:colOff>
      <xdr:row>15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99346D-F604-4871-B441-CA31A2F3A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23825"/>
          <a:ext cx="3900170" cy="2339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276225</xdr:colOff>
      <xdr:row>18</xdr:row>
      <xdr:rowOff>9525</xdr:rowOff>
    </xdr:from>
    <xdr:to>
      <xdr:col>16</xdr:col>
      <xdr:colOff>180975</xdr:colOff>
      <xdr:row>32</xdr:row>
      <xdr:rowOff>123190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D33EB3-3ED9-C7DD-4D02-354969AB38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1" r="1585"/>
        <a:stretch/>
      </xdr:blipFill>
      <xdr:spPr bwMode="auto">
        <a:xfrm>
          <a:off x="8362950" y="2933700"/>
          <a:ext cx="5543550" cy="2380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981075</xdr:colOff>
      <xdr:row>36</xdr:row>
      <xdr:rowOff>19050</xdr:rowOff>
    </xdr:from>
    <xdr:to>
      <xdr:col>14</xdr:col>
      <xdr:colOff>37465</xdr:colOff>
      <xdr:row>50</xdr:row>
      <xdr:rowOff>92075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6593CB-5DB7-B861-013B-ED0195124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5857875"/>
          <a:ext cx="3133090" cy="23399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19050</xdr:colOff>
      <xdr:row>54</xdr:row>
      <xdr:rowOff>9525</xdr:rowOff>
    </xdr:from>
    <xdr:to>
      <xdr:col>13</xdr:col>
      <xdr:colOff>481330</xdr:colOff>
      <xdr:row>69</xdr:row>
      <xdr:rowOff>44450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032966B-A08C-AB55-26F0-F35A3EF529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31" r="18694" b="3609"/>
        <a:stretch/>
      </xdr:blipFill>
      <xdr:spPr bwMode="auto">
        <a:xfrm>
          <a:off x="9391650" y="8763000"/>
          <a:ext cx="2519680" cy="2463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247650</xdr:colOff>
      <xdr:row>73</xdr:row>
      <xdr:rowOff>38100</xdr:rowOff>
    </xdr:from>
    <xdr:to>
      <xdr:col>14</xdr:col>
      <xdr:colOff>12700</xdr:colOff>
      <xdr:row>87</xdr:row>
      <xdr:rowOff>127635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067351-3E17-5A00-FBEC-E61066E14A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7" t="9102" r="15964"/>
        <a:stretch/>
      </xdr:blipFill>
      <xdr:spPr bwMode="auto">
        <a:xfrm>
          <a:off x="9620250" y="11868150"/>
          <a:ext cx="2555875" cy="25184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676275</xdr:colOff>
      <xdr:row>90</xdr:row>
      <xdr:rowOff>76200</xdr:rowOff>
    </xdr:from>
    <xdr:to>
      <xdr:col>14</xdr:col>
      <xdr:colOff>739140</xdr:colOff>
      <xdr:row>108</xdr:row>
      <xdr:rowOff>100965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1C942EA-0C23-2F84-16B1-78BAEE9D6A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81" r="1910" b="3774"/>
        <a:stretch/>
      </xdr:blipFill>
      <xdr:spPr bwMode="auto">
        <a:xfrm>
          <a:off x="8763000" y="14820900"/>
          <a:ext cx="4139565" cy="29394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476250</xdr:colOff>
      <xdr:row>111</xdr:row>
      <xdr:rowOff>9525</xdr:rowOff>
    </xdr:from>
    <xdr:to>
      <xdr:col>13</xdr:col>
      <xdr:colOff>600075</xdr:colOff>
      <xdr:row>122</xdr:row>
      <xdr:rowOff>4445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4FD27C3-E1CF-C915-8587-BA00B93FB6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79" r="18696" b="7766"/>
        <a:stretch/>
      </xdr:blipFill>
      <xdr:spPr bwMode="auto">
        <a:xfrm>
          <a:off x="9848850" y="18154650"/>
          <a:ext cx="2181225" cy="1776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571500</xdr:colOff>
      <xdr:row>125</xdr:row>
      <xdr:rowOff>38100</xdr:rowOff>
    </xdr:from>
    <xdr:to>
      <xdr:col>14</xdr:col>
      <xdr:colOff>542925</xdr:colOff>
      <xdr:row>136</xdr:row>
      <xdr:rowOff>34925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6CAD09B-44F1-0EC9-D878-CB5D805A66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5" t="14584" r="20028" b="4762"/>
        <a:stretch/>
      </xdr:blipFill>
      <xdr:spPr bwMode="auto">
        <a:xfrm>
          <a:off x="9944100" y="20450175"/>
          <a:ext cx="2762250" cy="1778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542925</xdr:colOff>
      <xdr:row>138</xdr:row>
      <xdr:rowOff>114300</xdr:rowOff>
    </xdr:from>
    <xdr:to>
      <xdr:col>16</xdr:col>
      <xdr:colOff>509905</xdr:colOff>
      <xdr:row>150</xdr:row>
      <xdr:rowOff>100965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C2C01A6-833E-7943-BAD7-B13241DD6A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27" t="20019" r="9043" b="24464"/>
        <a:stretch/>
      </xdr:blipFill>
      <xdr:spPr bwMode="auto">
        <a:xfrm>
          <a:off x="9915525" y="22631400"/>
          <a:ext cx="4319905" cy="19297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1209675</xdr:colOff>
      <xdr:row>153</xdr:row>
      <xdr:rowOff>9525</xdr:rowOff>
    </xdr:from>
    <xdr:to>
      <xdr:col>15</xdr:col>
      <xdr:colOff>643255</xdr:colOff>
      <xdr:row>166</xdr:row>
      <xdr:rowOff>39370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231821C-EB34-669F-3533-A95B3CF65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5" t="8557" r="1093" b="8726"/>
        <a:stretch/>
      </xdr:blipFill>
      <xdr:spPr bwMode="auto">
        <a:xfrm>
          <a:off x="9296400" y="24955500"/>
          <a:ext cx="4319905" cy="21348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Z27" totalsRowShown="0" headerRowDxfId="27" dataDxfId="26">
  <autoFilter ref="A1:Z27" xr:uid="{00000000-0009-0000-0100-000001000000}"/>
  <tableColumns count="26">
    <tableColumn id="1" xr3:uid="{00000000-0010-0000-0000-000001000000}" name="Year" dataDxfId="25"/>
    <tableColumn id="2" xr3:uid="{00000000-0010-0000-0000-000002000000}" name="Reference" dataDxfId="24"/>
    <tableColumn id="3" xr3:uid="{00000000-0010-0000-0000-000003000000}" name="Fibre Quantity" dataDxfId="23"/>
    <tableColumn id="4" xr3:uid="{00000000-0010-0000-0000-000004000000}" name="Fibre Type" dataDxfId="22"/>
    <tableColumn id="5" xr3:uid="{00000000-0010-0000-0000-000005000000}" name="Fibre corrosion status prior to cast" dataDxfId="21"/>
    <tableColumn id="8" xr3:uid="{00000000-0010-0000-0000-000008000000}" name="Fibre Size (mm)" dataDxfId="20"/>
    <tableColumn id="24" xr3:uid="{00000000-0010-0000-0000-000018000000}" name="Aspect ratio" dataDxfId="19"/>
    <tableColumn id="6" xr3:uid="{00000000-0010-0000-0000-000006000000}" name="Fibre fy (MPa)" dataDxfId="18"/>
    <tableColumn id="7" xr3:uid="{00000000-0010-0000-0000-000007000000}" name="Fibre E (GPa)" dataDxfId="17"/>
    <tableColumn id="9" xr3:uid="{00000000-0010-0000-0000-000009000000}" name="Matrix designation" dataDxfId="16"/>
    <tableColumn id="25" xr3:uid="{00000000-0010-0000-0000-000019000000}" name="Mixer Type" dataDxfId="15"/>
    <tableColumn id="26" xr3:uid="{00000000-0010-0000-0000-00001A000000}" name="Mixer Capacity" dataDxfId="14"/>
    <tableColumn id="10" xr3:uid="{00000000-0010-0000-0000-00000A000000}" name="Concrete fc (MPa)" dataDxfId="13"/>
    <tableColumn id="11" xr3:uid="{00000000-0010-0000-0000-00000B000000}" name="Concrete fct (MPa)" dataDxfId="12"/>
    <tableColumn id="12" xr3:uid="{00000000-0010-0000-0000-00000C000000}" name="Specimen Shape" dataDxfId="11"/>
    <tableColumn id="13" xr3:uid="{00000000-0010-0000-0000-00000D000000}" name="Specimen Size (mm)" dataDxfId="10"/>
    <tableColumn id="14" xr3:uid="{00000000-0010-0000-0000-00000E000000}" name="Number of Observations" dataDxfId="9"/>
    <tableColumn id="15" xr3:uid="{00000000-0010-0000-0000-00000F000000}" name="Specimen Crack Condition" dataDxfId="8"/>
    <tableColumn id="16" xr3:uid="{00000000-0010-0000-0000-000010000000}" name="Tests for corrosion evaluation" dataDxfId="7"/>
    <tableColumn id="17" xr3:uid="{00000000-0010-0000-0000-000011000000}" name="Pre-cracking controlled by Loading" dataDxfId="6"/>
    <tableColumn id="18" xr3:uid="{00000000-0010-0000-0000-000012000000}" name="Pre-cracking controlled by Crack Width (mm)" dataDxfId="5"/>
    <tableColumn id="19" xr3:uid="{00000000-0010-0000-0000-000013000000}" name="Pre-Crack position" dataDxfId="4"/>
    <tableColumn id="20" xr3:uid="{00000000-0010-0000-0000-000014000000}" name="minimum dimension of specimen/fibre length" dataDxfId="3"/>
    <tableColumn id="21" xr3:uid="{00000000-0010-0000-0000-000015000000}" name="Corrosion Exposure Duration" dataDxfId="2"/>
    <tableColumn id="22" xr3:uid="{00000000-0010-0000-0000-000016000000}" name="Corrosion Environment" dataDxfId="1"/>
    <tableColumn id="23" xr3:uid="{00000000-0010-0000-0000-000017000000}" name="Corrosion Process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1"/>
  <sheetViews>
    <sheetView showGridLines="0" topLeftCell="A10" workbookViewId="0">
      <selection activeCell="B21" sqref="B21"/>
    </sheetView>
  </sheetViews>
  <sheetFormatPr defaultColWidth="9.140625" defaultRowHeight="12.75" x14ac:dyDescent="0.25"/>
  <cols>
    <col min="1" max="1" width="16" style="1" bestFit="1" customWidth="1"/>
    <col min="2" max="2" width="52.42578125" style="1" bestFit="1" customWidth="1"/>
    <col min="3" max="4" width="9.140625" style="1" customWidth="1"/>
    <col min="5" max="16384" width="9.140625" style="1"/>
  </cols>
  <sheetData>
    <row r="1" spans="1:2" x14ac:dyDescent="0.25">
      <c r="A1" s="2" t="s">
        <v>157</v>
      </c>
    </row>
    <row r="2" spans="1:2" x14ac:dyDescent="0.25">
      <c r="A2" s="1" t="s">
        <v>70</v>
      </c>
      <c r="B2" s="1" t="s">
        <v>69</v>
      </c>
    </row>
    <row r="3" spans="1:2" x14ac:dyDescent="0.25">
      <c r="A3" s="1" t="s">
        <v>80</v>
      </c>
      <c r="B3" s="1" t="s">
        <v>79</v>
      </c>
    </row>
    <row r="4" spans="1:2" x14ac:dyDescent="0.25">
      <c r="A4" s="1" t="s">
        <v>71</v>
      </c>
      <c r="B4" s="1" t="s">
        <v>53</v>
      </c>
    </row>
    <row r="5" spans="1:2" x14ac:dyDescent="0.25">
      <c r="A5" s="1" t="s">
        <v>81</v>
      </c>
      <c r="B5" s="1" t="s">
        <v>59</v>
      </c>
    </row>
    <row r="6" spans="1:2" x14ac:dyDescent="0.25">
      <c r="A6" s="1" t="s">
        <v>72</v>
      </c>
      <c r="B6" s="1" t="s">
        <v>2</v>
      </c>
    </row>
    <row r="7" spans="1:2" x14ac:dyDescent="0.25">
      <c r="A7" s="1" t="s">
        <v>246</v>
      </c>
      <c r="B7" s="1" t="s">
        <v>247</v>
      </c>
    </row>
    <row r="8" spans="1:2" x14ac:dyDescent="0.25">
      <c r="A8" s="1" t="s">
        <v>74</v>
      </c>
      <c r="B8" s="1" t="s">
        <v>184</v>
      </c>
    </row>
    <row r="9" spans="1:2" x14ac:dyDescent="0.25">
      <c r="A9" s="1" t="s">
        <v>190</v>
      </c>
      <c r="B9" s="1" t="s">
        <v>76</v>
      </c>
    </row>
    <row r="10" spans="1:2" x14ac:dyDescent="0.25">
      <c r="A10" s="1" t="s">
        <v>191</v>
      </c>
      <c r="B10" s="1" t="s">
        <v>192</v>
      </c>
    </row>
    <row r="11" spans="1:2" x14ac:dyDescent="0.25">
      <c r="A11" s="1" t="s">
        <v>75</v>
      </c>
      <c r="B11" s="1" t="s">
        <v>55</v>
      </c>
    </row>
    <row r="12" spans="1:2" x14ac:dyDescent="0.25">
      <c r="A12" s="1" t="s">
        <v>73</v>
      </c>
      <c r="B12" s="1" t="s">
        <v>33</v>
      </c>
    </row>
    <row r="13" spans="1:2" x14ac:dyDescent="0.25">
      <c r="A13" s="1" t="s">
        <v>83</v>
      </c>
      <c r="B13" s="1" t="s">
        <v>60</v>
      </c>
    </row>
    <row r="14" spans="1:2" x14ac:dyDescent="0.25">
      <c r="A14" s="1" t="s">
        <v>66</v>
      </c>
      <c r="B14" s="1" t="s">
        <v>24</v>
      </c>
    </row>
    <row r="15" spans="1:2" x14ac:dyDescent="0.25">
      <c r="A15" s="1" t="s">
        <v>67</v>
      </c>
      <c r="B15" s="1" t="s">
        <v>30</v>
      </c>
    </row>
    <row r="16" spans="1:2" x14ac:dyDescent="0.25">
      <c r="A16" s="1" t="s">
        <v>68</v>
      </c>
      <c r="B16" s="1" t="s">
        <v>52</v>
      </c>
    </row>
    <row r="17" spans="1:2" x14ac:dyDescent="0.25">
      <c r="A17" s="1" t="s">
        <v>84</v>
      </c>
      <c r="B17" s="1" t="s">
        <v>61</v>
      </c>
    </row>
    <row r="18" spans="1:2" x14ac:dyDescent="0.25">
      <c r="A18" s="1" t="s">
        <v>244</v>
      </c>
      <c r="B18" s="1" t="s">
        <v>245</v>
      </c>
    </row>
    <row r="20" spans="1:2" x14ac:dyDescent="0.25">
      <c r="A20" s="2" t="s">
        <v>91</v>
      </c>
    </row>
    <row r="21" spans="1:2" x14ac:dyDescent="0.25">
      <c r="A21" s="1" t="s">
        <v>129</v>
      </c>
      <c r="B21" s="1" t="s">
        <v>541</v>
      </c>
    </row>
    <row r="22" spans="1:2" x14ac:dyDescent="0.25">
      <c r="A22" s="1" t="s">
        <v>98</v>
      </c>
      <c r="B22" s="1" t="s">
        <v>539</v>
      </c>
    </row>
    <row r="23" spans="1:2" x14ac:dyDescent="0.25">
      <c r="A23" s="1" t="s">
        <v>115</v>
      </c>
      <c r="B23" s="1" t="s">
        <v>542</v>
      </c>
    </row>
    <row r="24" spans="1:2" x14ac:dyDescent="0.25">
      <c r="A24" s="1" t="s">
        <v>127</v>
      </c>
      <c r="B24" s="1" t="s">
        <v>126</v>
      </c>
    </row>
    <row r="25" spans="1:2" x14ac:dyDescent="0.25">
      <c r="A25" s="1" t="s">
        <v>124</v>
      </c>
      <c r="B25" s="1" t="s">
        <v>265</v>
      </c>
    </row>
    <row r="26" spans="1:2" x14ac:dyDescent="0.25">
      <c r="A26" s="1" t="s">
        <v>128</v>
      </c>
      <c r="B26" s="1" t="s">
        <v>540</v>
      </c>
    </row>
    <row r="27" spans="1:2" x14ac:dyDescent="0.25">
      <c r="A27" s="1" t="s">
        <v>50</v>
      </c>
      <c r="B27" s="1" t="s">
        <v>543</v>
      </c>
    </row>
    <row r="28" spans="1:2" x14ac:dyDescent="0.25">
      <c r="A28" s="1" t="s">
        <v>135</v>
      </c>
      <c r="B28" s="1" t="s">
        <v>136</v>
      </c>
    </row>
    <row r="29" spans="1:2" x14ac:dyDescent="0.25">
      <c r="A29" s="1" t="s">
        <v>112</v>
      </c>
      <c r="B29" s="1" t="s">
        <v>544</v>
      </c>
    </row>
    <row r="31" spans="1:2" x14ac:dyDescent="0.25">
      <c r="A31" s="2" t="s">
        <v>156</v>
      </c>
    </row>
    <row r="32" spans="1:2" x14ac:dyDescent="0.25">
      <c r="A32" s="1" t="s">
        <v>276</v>
      </c>
      <c r="B32" s="1" t="s">
        <v>277</v>
      </c>
    </row>
    <row r="33" spans="1:2" x14ac:dyDescent="0.25">
      <c r="A33" s="1" t="s">
        <v>199</v>
      </c>
      <c r="B33" s="1" t="s">
        <v>63</v>
      </c>
    </row>
    <row r="34" spans="1:2" x14ac:dyDescent="0.25">
      <c r="A34" s="1" t="s">
        <v>57</v>
      </c>
      <c r="B34" s="1" t="s">
        <v>65</v>
      </c>
    </row>
    <row r="35" spans="1:2" x14ac:dyDescent="0.25">
      <c r="A35" s="1" t="s">
        <v>58</v>
      </c>
      <c r="B35" s="1" t="s">
        <v>64</v>
      </c>
    </row>
    <row r="36" spans="1:2" x14ac:dyDescent="0.25">
      <c r="A36" s="1" t="s">
        <v>198</v>
      </c>
      <c r="B36" s="1" t="s">
        <v>62</v>
      </c>
    </row>
    <row r="38" spans="1:2" x14ac:dyDescent="0.25">
      <c r="A38" s="2" t="s">
        <v>155</v>
      </c>
    </row>
    <row r="39" spans="1:2" x14ac:dyDescent="0.25">
      <c r="A39" s="1" t="s">
        <v>138</v>
      </c>
      <c r="B39" s="1" t="s">
        <v>141</v>
      </c>
    </row>
    <row r="40" spans="1:2" x14ac:dyDescent="0.25">
      <c r="A40" s="1" t="s">
        <v>139</v>
      </c>
      <c r="B40" s="1" t="s">
        <v>140</v>
      </c>
    </row>
    <row r="41" spans="1:2" x14ac:dyDescent="0.25">
      <c r="A41" s="1" t="s">
        <v>142</v>
      </c>
      <c r="B41" s="1" t="s">
        <v>143</v>
      </c>
    </row>
    <row r="42" spans="1:2" ht="14.25" x14ac:dyDescent="0.25">
      <c r="A42" s="5" t="s">
        <v>153</v>
      </c>
      <c r="B42" s="1" t="s">
        <v>152</v>
      </c>
    </row>
    <row r="44" spans="1:2" x14ac:dyDescent="0.25">
      <c r="A44" s="2" t="s">
        <v>160</v>
      </c>
    </row>
    <row r="45" spans="1:2" x14ac:dyDescent="0.25">
      <c r="A45" s="1" t="s">
        <v>10</v>
      </c>
      <c r="B45" s="1" t="s">
        <v>158</v>
      </c>
    </row>
    <row r="46" spans="1:2" x14ac:dyDescent="0.25">
      <c r="A46" s="1" t="s">
        <v>15</v>
      </c>
      <c r="B46" s="1" t="s">
        <v>159</v>
      </c>
    </row>
    <row r="48" spans="1:2" x14ac:dyDescent="0.25">
      <c r="A48" s="2" t="s">
        <v>368</v>
      </c>
    </row>
    <row r="49" spans="1:2" x14ac:dyDescent="0.25">
      <c r="A49" s="1" t="s">
        <v>372</v>
      </c>
      <c r="B49" s="1" t="s">
        <v>19</v>
      </c>
    </row>
    <row r="50" spans="1:2" x14ac:dyDescent="0.25">
      <c r="A50" s="1" t="s">
        <v>376</v>
      </c>
      <c r="B50" s="1" t="s">
        <v>200</v>
      </c>
    </row>
    <row r="51" spans="1:2" ht="15.75" x14ac:dyDescent="0.25">
      <c r="A51" s="1" t="s">
        <v>374</v>
      </c>
      <c r="B51" s="1" t="s">
        <v>375</v>
      </c>
    </row>
    <row r="52" spans="1:2" x14ac:dyDescent="0.25">
      <c r="A52" s="1" t="s">
        <v>177</v>
      </c>
      <c r="B52" s="1" t="s">
        <v>177</v>
      </c>
    </row>
    <row r="53" spans="1:2" ht="15.75" x14ac:dyDescent="0.25">
      <c r="A53" s="1" t="s">
        <v>380</v>
      </c>
      <c r="B53" s="1" t="s">
        <v>381</v>
      </c>
    </row>
    <row r="54" spans="1:2" x14ac:dyDescent="0.25">
      <c r="A54" s="1" t="s">
        <v>387</v>
      </c>
      <c r="B54" s="1" t="s">
        <v>388</v>
      </c>
    </row>
    <row r="55" spans="1:2" ht="15.75" x14ac:dyDescent="0.25">
      <c r="A55" s="1" t="s">
        <v>392</v>
      </c>
      <c r="B55" s="1" t="s">
        <v>390</v>
      </c>
    </row>
    <row r="56" spans="1:2" x14ac:dyDescent="0.25">
      <c r="A56" s="1" t="s">
        <v>369</v>
      </c>
      <c r="B56" s="1" t="s">
        <v>370</v>
      </c>
    </row>
    <row r="57" spans="1:2" x14ac:dyDescent="0.25">
      <c r="A57" s="1" t="s">
        <v>385</v>
      </c>
      <c r="B57" s="1" t="s">
        <v>382</v>
      </c>
    </row>
    <row r="59" spans="1:2" x14ac:dyDescent="0.25">
      <c r="A59" s="2" t="s">
        <v>332</v>
      </c>
    </row>
    <row r="60" spans="1:2" x14ac:dyDescent="0.25">
      <c r="A60" s="1" t="s">
        <v>362</v>
      </c>
      <c r="B60" s="1" t="s">
        <v>363</v>
      </c>
    </row>
    <row r="61" spans="1:2" x14ac:dyDescent="0.25">
      <c r="A61" s="1" t="s">
        <v>346</v>
      </c>
      <c r="B61" s="1" t="s">
        <v>347</v>
      </c>
    </row>
    <row r="62" spans="1:2" x14ac:dyDescent="0.25">
      <c r="A62" s="1" t="s">
        <v>333</v>
      </c>
      <c r="B62" s="1" t="s">
        <v>345</v>
      </c>
    </row>
    <row r="63" spans="1:2" x14ac:dyDescent="0.25">
      <c r="A63" s="1" t="s">
        <v>355</v>
      </c>
      <c r="B63" s="1" t="s">
        <v>354</v>
      </c>
    </row>
    <row r="64" spans="1:2" x14ac:dyDescent="0.25">
      <c r="A64" s="1" t="s">
        <v>342</v>
      </c>
      <c r="B64" s="1" t="s">
        <v>343</v>
      </c>
    </row>
    <row r="65" spans="1:2" x14ac:dyDescent="0.25">
      <c r="A65" s="1" t="s">
        <v>337</v>
      </c>
      <c r="B65" s="1" t="s">
        <v>338</v>
      </c>
    </row>
    <row r="66" spans="1:2" x14ac:dyDescent="0.25">
      <c r="A66" s="1" t="s">
        <v>334</v>
      </c>
      <c r="B66" s="1" t="s">
        <v>335</v>
      </c>
    </row>
    <row r="67" spans="1:2" x14ac:dyDescent="0.25">
      <c r="A67" s="1" t="s">
        <v>352</v>
      </c>
      <c r="B67" s="1" t="s">
        <v>353</v>
      </c>
    </row>
    <row r="68" spans="1:2" x14ac:dyDescent="0.25">
      <c r="A68" s="1" t="s">
        <v>359</v>
      </c>
      <c r="B68" s="1" t="s">
        <v>360</v>
      </c>
    </row>
    <row r="69" spans="1:2" x14ac:dyDescent="0.25">
      <c r="A69" s="1" t="s">
        <v>348</v>
      </c>
      <c r="B69" s="1" t="s">
        <v>349</v>
      </c>
    </row>
    <row r="70" spans="1:2" x14ac:dyDescent="0.25">
      <c r="A70" s="1" t="s">
        <v>350</v>
      </c>
      <c r="B70" s="1" t="s">
        <v>336</v>
      </c>
    </row>
    <row r="71" spans="1:2" x14ac:dyDescent="0.25">
      <c r="A71" s="1" t="s">
        <v>339</v>
      </c>
      <c r="B71" s="1" t="s">
        <v>340</v>
      </c>
    </row>
  </sheetData>
  <sortState xmlns:xlrd2="http://schemas.microsoft.com/office/spreadsheetml/2017/richdata2" ref="A2:B18">
    <sortCondition ref="A2:A18"/>
  </sortState>
  <pageMargins left="0.6692913385826772" right="0.78740157480314965" top="0.78740157480314965" bottom="0.78740157480314965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3"/>
  <sheetViews>
    <sheetView showGridLines="0" zoomScaleNormal="100" workbookViewId="0">
      <selection activeCell="E41" sqref="E41"/>
    </sheetView>
  </sheetViews>
  <sheetFormatPr defaultColWidth="9.140625" defaultRowHeight="15" x14ac:dyDescent="0.25"/>
  <cols>
    <col min="1" max="1" width="9.28515625" style="8" bestFit="1" customWidth="1"/>
    <col min="2" max="2" width="15.5703125" style="18" bestFit="1" customWidth="1"/>
    <col min="3" max="3" width="17.85546875" style="18" customWidth="1"/>
    <col min="4" max="4" width="16.7109375" style="18" customWidth="1"/>
    <col min="5" max="5" width="25.42578125" style="8" customWidth="1"/>
    <col min="6" max="7" width="22.28515625" style="8" customWidth="1"/>
    <col min="8" max="8" width="14.7109375" style="8" customWidth="1"/>
    <col min="9" max="9" width="14.28515625" style="8" customWidth="1"/>
    <col min="10" max="10" width="10.7109375" style="21" customWidth="1"/>
    <col min="11" max="11" width="9" style="21" customWidth="1"/>
    <col min="12" max="12" width="10" style="21" customWidth="1"/>
    <col min="13" max="13" width="26.140625" style="8" customWidth="1"/>
    <col min="14" max="14" width="31.85546875" style="8" customWidth="1"/>
    <col min="15" max="15" width="22.5703125" style="8" customWidth="1"/>
    <col min="16" max="16" width="25.7109375" style="8" customWidth="1"/>
    <col min="17" max="17" width="24.85546875" style="8" bestFit="1" customWidth="1"/>
    <col min="18" max="18" width="24.7109375" style="8" customWidth="1"/>
    <col min="19" max="19" width="18.42578125" style="8" customWidth="1"/>
    <col min="20" max="20" width="24.7109375" style="8" customWidth="1"/>
    <col min="21" max="21" width="40.42578125" style="18" customWidth="1"/>
    <col min="22" max="22" width="18.42578125" style="8" customWidth="1"/>
    <col min="23" max="23" width="21.28515625" style="8" bestFit="1" customWidth="1"/>
    <col min="24" max="24" width="27.42578125" style="8" bestFit="1" customWidth="1"/>
    <col min="25" max="25" width="23" style="18" bestFit="1" customWidth="1"/>
    <col min="26" max="26" width="14.42578125" style="18" bestFit="1" customWidth="1"/>
    <col min="27" max="27" width="2.7109375" style="18" customWidth="1"/>
    <col min="28" max="16384" width="9.140625" style="8"/>
  </cols>
  <sheetData>
    <row r="1" spans="1:27" ht="25.5" customHeight="1" x14ac:dyDescent="0.25">
      <c r="A1" s="6" t="s">
        <v>171</v>
      </c>
      <c r="B1" s="7" t="s">
        <v>0</v>
      </c>
      <c r="C1" s="7" t="s">
        <v>310</v>
      </c>
      <c r="D1" s="7" t="s">
        <v>307</v>
      </c>
      <c r="E1" s="7" t="s">
        <v>308</v>
      </c>
      <c r="F1" s="7" t="s">
        <v>309</v>
      </c>
      <c r="G1" s="7" t="s">
        <v>481</v>
      </c>
      <c r="H1" s="7" t="s">
        <v>320</v>
      </c>
      <c r="I1" s="7" t="s">
        <v>321</v>
      </c>
      <c r="J1" s="7" t="s">
        <v>313</v>
      </c>
      <c r="K1" s="7" t="s">
        <v>311</v>
      </c>
      <c r="L1" s="7" t="s">
        <v>312</v>
      </c>
      <c r="M1" s="7" t="s">
        <v>318</v>
      </c>
      <c r="N1" s="7" t="s">
        <v>319</v>
      </c>
      <c r="O1" s="7" t="s">
        <v>322</v>
      </c>
      <c r="P1" s="7" t="s">
        <v>323</v>
      </c>
      <c r="Q1" s="7" t="s">
        <v>453</v>
      </c>
      <c r="R1" s="7" t="s">
        <v>324</v>
      </c>
      <c r="S1" s="7" t="s">
        <v>214</v>
      </c>
      <c r="T1" s="7" t="s">
        <v>325</v>
      </c>
      <c r="U1" s="7" t="s">
        <v>326</v>
      </c>
      <c r="V1" s="7" t="s">
        <v>327</v>
      </c>
      <c r="W1" s="7" t="s">
        <v>303</v>
      </c>
      <c r="X1" s="7" t="s">
        <v>331</v>
      </c>
      <c r="Y1" s="7" t="s">
        <v>368</v>
      </c>
      <c r="Z1" s="7" t="s">
        <v>332</v>
      </c>
      <c r="AA1" s="8"/>
    </row>
    <row r="2" spans="1:27" ht="51" x14ac:dyDescent="0.25">
      <c r="A2" s="8">
        <v>1999</v>
      </c>
      <c r="B2" s="9" t="s">
        <v>1</v>
      </c>
      <c r="C2" s="9" t="s">
        <v>179</v>
      </c>
      <c r="D2" s="9" t="s">
        <v>429</v>
      </c>
      <c r="E2" s="9" t="s">
        <v>198</v>
      </c>
      <c r="F2" s="9" t="s">
        <v>430</v>
      </c>
      <c r="G2" s="9" t="str">
        <f>19/0.41&amp;", "&amp;25.4/0.33&amp;", "&amp;25.5/0.25&amp;", "</f>
        <v xml:space="preserve">46.3414634146341, 76.969696969697, 102, </v>
      </c>
      <c r="H2" s="10" t="s">
        <v>241</v>
      </c>
      <c r="I2" s="10" t="s">
        <v>241</v>
      </c>
      <c r="J2" s="9" t="s">
        <v>98</v>
      </c>
      <c r="K2" s="9" t="s">
        <v>241</v>
      </c>
      <c r="L2" s="9" t="s">
        <v>241</v>
      </c>
      <c r="M2" s="9" t="s">
        <v>431</v>
      </c>
      <c r="N2" s="10" t="s">
        <v>432</v>
      </c>
      <c r="O2" s="9" t="s">
        <v>4</v>
      </c>
      <c r="P2" s="9" t="s">
        <v>6</v>
      </c>
      <c r="Q2" s="9" t="s">
        <v>433</v>
      </c>
      <c r="R2" s="9" t="s">
        <v>15</v>
      </c>
      <c r="S2" s="9" t="s">
        <v>175</v>
      </c>
      <c r="T2" s="10" t="s">
        <v>444</v>
      </c>
      <c r="U2" s="10" t="s">
        <v>444</v>
      </c>
      <c r="V2" s="10" t="s">
        <v>444</v>
      </c>
      <c r="W2" s="11" t="s">
        <v>395</v>
      </c>
      <c r="X2" s="9" t="s">
        <v>5</v>
      </c>
      <c r="Y2" s="12" t="s">
        <v>369</v>
      </c>
      <c r="Z2" s="12" t="s">
        <v>333</v>
      </c>
      <c r="AA2" s="8"/>
    </row>
    <row r="3" spans="1:27" ht="51" x14ac:dyDescent="0.25">
      <c r="A3" s="8">
        <v>1999</v>
      </c>
      <c r="B3" s="9" t="s">
        <v>1</v>
      </c>
      <c r="C3" s="9" t="s">
        <v>180</v>
      </c>
      <c r="D3" s="9" t="s">
        <v>97</v>
      </c>
      <c r="E3" s="9" t="s">
        <v>198</v>
      </c>
      <c r="F3" s="9" t="s">
        <v>172</v>
      </c>
      <c r="G3" s="9"/>
      <c r="H3" s="10" t="s">
        <v>241</v>
      </c>
      <c r="I3" s="10" t="s">
        <v>241</v>
      </c>
      <c r="J3" s="9" t="s">
        <v>98</v>
      </c>
      <c r="K3" s="9" t="s">
        <v>241</v>
      </c>
      <c r="L3" s="9" t="s">
        <v>241</v>
      </c>
      <c r="M3" s="9" t="s">
        <v>173</v>
      </c>
      <c r="N3" s="9" t="s">
        <v>174</v>
      </c>
      <c r="O3" s="9" t="s">
        <v>7</v>
      </c>
      <c r="P3" s="9" t="s">
        <v>176</v>
      </c>
      <c r="Q3" s="9" t="s">
        <v>434</v>
      </c>
      <c r="R3" s="9" t="s">
        <v>15</v>
      </c>
      <c r="S3" s="9" t="s">
        <v>439</v>
      </c>
      <c r="T3" s="10" t="s">
        <v>444</v>
      </c>
      <c r="U3" s="10" t="s">
        <v>444</v>
      </c>
      <c r="V3" s="10" t="s">
        <v>444</v>
      </c>
      <c r="W3" s="9" t="s">
        <v>396</v>
      </c>
      <c r="X3" s="9" t="s">
        <v>5</v>
      </c>
      <c r="Y3" s="12" t="s">
        <v>369</v>
      </c>
      <c r="Z3" s="12" t="s">
        <v>333</v>
      </c>
      <c r="AA3" s="8"/>
    </row>
    <row r="4" spans="1:27" ht="25.5" x14ac:dyDescent="0.25">
      <c r="A4" s="8">
        <v>2005</v>
      </c>
      <c r="B4" s="9" t="s">
        <v>8</v>
      </c>
      <c r="C4" s="9" t="s">
        <v>178</v>
      </c>
      <c r="D4" s="9" t="s">
        <v>66</v>
      </c>
      <c r="E4" s="9" t="s">
        <v>198</v>
      </c>
      <c r="F4" s="9" t="s">
        <v>144</v>
      </c>
      <c r="G4" s="9">
        <f>60/0.8</f>
        <v>75</v>
      </c>
      <c r="H4" s="10" t="s">
        <v>241</v>
      </c>
      <c r="I4" s="10" t="s">
        <v>241</v>
      </c>
      <c r="J4" s="9" t="s">
        <v>98</v>
      </c>
      <c r="K4" s="9" t="s">
        <v>241</v>
      </c>
      <c r="L4" s="9" t="s">
        <v>241</v>
      </c>
      <c r="M4" s="9">
        <v>40</v>
      </c>
      <c r="N4" s="13" t="s">
        <v>241</v>
      </c>
      <c r="O4" s="9" t="s">
        <v>436</v>
      </c>
      <c r="P4" s="9" t="s">
        <v>9</v>
      </c>
      <c r="Q4" s="9" t="s">
        <v>437</v>
      </c>
      <c r="R4" s="9" t="s">
        <v>435</v>
      </c>
      <c r="S4" s="9" t="s">
        <v>438</v>
      </c>
      <c r="T4" s="9" t="s">
        <v>182</v>
      </c>
      <c r="U4" s="9" t="s">
        <v>181</v>
      </c>
      <c r="V4" s="9" t="s">
        <v>211</v>
      </c>
      <c r="W4" s="14">
        <f>100/60</f>
        <v>1.6666666666666667</v>
      </c>
      <c r="X4" s="9" t="s">
        <v>12</v>
      </c>
      <c r="Y4" s="12" t="s">
        <v>371</v>
      </c>
      <c r="Z4" s="12" t="s">
        <v>350</v>
      </c>
      <c r="AA4" s="8"/>
    </row>
    <row r="5" spans="1:27" ht="63.75" x14ac:dyDescent="0.25">
      <c r="A5" s="8">
        <v>2007</v>
      </c>
      <c r="B5" s="9" t="s">
        <v>13</v>
      </c>
      <c r="C5" s="15" t="s">
        <v>440</v>
      </c>
      <c r="D5" s="9" t="s">
        <v>73</v>
      </c>
      <c r="E5" s="9" t="s">
        <v>198</v>
      </c>
      <c r="F5" s="9" t="s">
        <v>145</v>
      </c>
      <c r="G5" s="9">
        <f>12.7/0.2</f>
        <v>63.499999999999993</v>
      </c>
      <c r="H5" s="10" t="s">
        <v>241</v>
      </c>
      <c r="I5" s="10" t="s">
        <v>241</v>
      </c>
      <c r="J5" s="9" t="s">
        <v>50</v>
      </c>
      <c r="K5" s="9" t="s">
        <v>241</v>
      </c>
      <c r="L5" s="9" t="s">
        <v>441</v>
      </c>
      <c r="M5" s="9" t="s">
        <v>241</v>
      </c>
      <c r="N5" s="10" t="s">
        <v>241</v>
      </c>
      <c r="O5" s="9" t="s">
        <v>7</v>
      </c>
      <c r="P5" s="9" t="s">
        <v>14</v>
      </c>
      <c r="Q5" s="9" t="s">
        <v>443</v>
      </c>
      <c r="R5" s="9" t="s">
        <v>15</v>
      </c>
      <c r="S5" s="9" t="s">
        <v>442</v>
      </c>
      <c r="T5" s="10" t="s">
        <v>444</v>
      </c>
      <c r="U5" s="10" t="s">
        <v>444</v>
      </c>
      <c r="V5" s="10" t="s">
        <v>444</v>
      </c>
      <c r="W5" s="14">
        <f>102/12.7</f>
        <v>8.0314960629921259</v>
      </c>
      <c r="X5" s="9" t="s">
        <v>16</v>
      </c>
      <c r="Y5" s="9" t="s">
        <v>372</v>
      </c>
      <c r="Z5" s="9" t="s">
        <v>337</v>
      </c>
      <c r="AA5" s="8"/>
    </row>
    <row r="6" spans="1:27" ht="38.25" x14ac:dyDescent="0.25">
      <c r="A6" s="8">
        <v>2009</v>
      </c>
      <c r="B6" s="9" t="s">
        <v>17</v>
      </c>
      <c r="C6" s="15" t="s">
        <v>445</v>
      </c>
      <c r="D6" s="9" t="s">
        <v>464</v>
      </c>
      <c r="E6" s="9" t="s">
        <v>198</v>
      </c>
      <c r="F6" s="9" t="s">
        <v>446</v>
      </c>
      <c r="G6" s="9">
        <v>54</v>
      </c>
      <c r="H6" s="9">
        <v>1100</v>
      </c>
      <c r="I6" s="10" t="s">
        <v>241</v>
      </c>
      <c r="J6" s="9" t="s">
        <v>98</v>
      </c>
      <c r="K6" s="9" t="s">
        <v>241</v>
      </c>
      <c r="L6" s="9" t="s">
        <v>241</v>
      </c>
      <c r="M6" s="9">
        <v>62</v>
      </c>
      <c r="N6" s="10" t="s">
        <v>448</v>
      </c>
      <c r="O6" s="9" t="s">
        <v>187</v>
      </c>
      <c r="P6" s="9" t="s">
        <v>185</v>
      </c>
      <c r="Q6" s="9" t="s">
        <v>241</v>
      </c>
      <c r="R6" s="9" t="s">
        <v>15</v>
      </c>
      <c r="S6" s="9" t="s">
        <v>454</v>
      </c>
      <c r="T6" s="10" t="s">
        <v>444</v>
      </c>
      <c r="U6" s="10" t="s">
        <v>444</v>
      </c>
      <c r="V6" s="10" t="s">
        <v>444</v>
      </c>
      <c r="W6" s="10" t="s">
        <v>447</v>
      </c>
      <c r="X6" s="9" t="s">
        <v>186</v>
      </c>
      <c r="Y6" s="9" t="s">
        <v>372</v>
      </c>
      <c r="Z6" s="12" t="s">
        <v>341</v>
      </c>
      <c r="AA6" s="8"/>
    </row>
    <row r="7" spans="1:27" ht="38.25" x14ac:dyDescent="0.25">
      <c r="A7" s="8">
        <v>2010</v>
      </c>
      <c r="B7" s="9" t="s">
        <v>20</v>
      </c>
      <c r="C7" s="9" t="s">
        <v>178</v>
      </c>
      <c r="D7" s="9" t="s">
        <v>450</v>
      </c>
      <c r="E7" s="9" t="s">
        <v>198</v>
      </c>
      <c r="F7" s="9" t="s">
        <v>451</v>
      </c>
      <c r="G7" s="9" t="str">
        <f>13/0.17&amp;", "&amp;30/0.5</f>
        <v>76.4705882352941, 60</v>
      </c>
      <c r="H7" s="10" t="s">
        <v>241</v>
      </c>
      <c r="I7" s="10" t="s">
        <v>241</v>
      </c>
      <c r="J7" s="9" t="s">
        <v>98</v>
      </c>
      <c r="K7" s="9" t="s">
        <v>241</v>
      </c>
      <c r="L7" s="9" t="s">
        <v>241</v>
      </c>
      <c r="M7" s="9" t="s">
        <v>241</v>
      </c>
      <c r="N7" s="9" t="s">
        <v>241</v>
      </c>
      <c r="O7" s="9" t="s">
        <v>21</v>
      </c>
      <c r="P7" s="9" t="s">
        <v>22</v>
      </c>
      <c r="Q7" s="9" t="s">
        <v>452</v>
      </c>
      <c r="R7" s="9" t="s">
        <v>15</v>
      </c>
      <c r="S7" s="9" t="s">
        <v>189</v>
      </c>
      <c r="T7" s="10" t="s">
        <v>444</v>
      </c>
      <c r="U7" s="10" t="s">
        <v>444</v>
      </c>
      <c r="V7" s="10" t="s">
        <v>444</v>
      </c>
      <c r="W7" s="14" t="s">
        <v>449</v>
      </c>
      <c r="X7" s="9" t="s">
        <v>23</v>
      </c>
      <c r="Y7" s="12" t="s">
        <v>188</v>
      </c>
      <c r="Z7" s="12" t="s">
        <v>350</v>
      </c>
      <c r="AA7" s="8"/>
    </row>
    <row r="8" spans="1:27" ht="76.5" x14ac:dyDescent="0.25">
      <c r="A8" s="8">
        <v>2011</v>
      </c>
      <c r="B8" s="9" t="s">
        <v>25</v>
      </c>
      <c r="C8" s="16" t="s">
        <v>193</v>
      </c>
      <c r="D8" s="9" t="s">
        <v>190</v>
      </c>
      <c r="E8" s="9" t="s">
        <v>198</v>
      </c>
      <c r="F8" s="9" t="s">
        <v>146</v>
      </c>
      <c r="G8" s="9"/>
      <c r="H8" s="9">
        <v>2580</v>
      </c>
      <c r="I8" s="9">
        <v>73</v>
      </c>
      <c r="J8" s="9" t="s">
        <v>109</v>
      </c>
      <c r="K8" s="9"/>
      <c r="L8" s="9"/>
      <c r="M8" s="9" t="s">
        <v>3</v>
      </c>
      <c r="N8" s="10" t="s">
        <v>3</v>
      </c>
      <c r="O8" s="9" t="s">
        <v>26</v>
      </c>
      <c r="P8" s="9" t="s">
        <v>27</v>
      </c>
      <c r="Q8" s="9">
        <v>1</v>
      </c>
      <c r="R8" s="9" t="s">
        <v>15</v>
      </c>
      <c r="S8" s="10" t="s">
        <v>195</v>
      </c>
      <c r="T8" s="10" t="s">
        <v>444</v>
      </c>
      <c r="U8" s="10" t="s">
        <v>444</v>
      </c>
      <c r="V8" s="10" t="s">
        <v>444</v>
      </c>
      <c r="W8" s="9" t="s">
        <v>11</v>
      </c>
      <c r="X8" s="9" t="s">
        <v>28</v>
      </c>
      <c r="Y8" s="9" t="s">
        <v>372</v>
      </c>
      <c r="Z8" s="9" t="s">
        <v>342</v>
      </c>
      <c r="AA8" s="8"/>
    </row>
    <row r="9" spans="1:27" ht="76.5" x14ac:dyDescent="0.25">
      <c r="A9" s="8">
        <v>2011</v>
      </c>
      <c r="B9" s="9" t="s">
        <v>25</v>
      </c>
      <c r="C9" s="16" t="s">
        <v>194</v>
      </c>
      <c r="D9" s="9" t="s">
        <v>191</v>
      </c>
      <c r="E9" s="9" t="s">
        <v>198</v>
      </c>
      <c r="F9" s="9" t="s">
        <v>147</v>
      </c>
      <c r="G9" s="9"/>
      <c r="H9" s="9">
        <v>2850</v>
      </c>
      <c r="I9" s="9">
        <v>200</v>
      </c>
      <c r="J9" s="9" t="s">
        <v>110</v>
      </c>
      <c r="K9" s="9"/>
      <c r="L9" s="9"/>
      <c r="M9" s="9" t="s">
        <v>3</v>
      </c>
      <c r="N9" s="10" t="s">
        <v>3</v>
      </c>
      <c r="O9" s="9" t="s">
        <v>26</v>
      </c>
      <c r="P9" s="9" t="s">
        <v>27</v>
      </c>
      <c r="Q9" s="9">
        <v>1</v>
      </c>
      <c r="R9" s="9" t="s">
        <v>15</v>
      </c>
      <c r="S9" s="10" t="s">
        <v>195</v>
      </c>
      <c r="T9" s="10" t="s">
        <v>444</v>
      </c>
      <c r="U9" s="10" t="s">
        <v>444</v>
      </c>
      <c r="V9" s="10" t="s">
        <v>444</v>
      </c>
      <c r="W9" s="9" t="s">
        <v>11</v>
      </c>
      <c r="X9" s="9" t="s">
        <v>28</v>
      </c>
      <c r="Y9" s="9" t="s">
        <v>372</v>
      </c>
      <c r="Z9" s="9" t="s">
        <v>342</v>
      </c>
      <c r="AA9" s="8"/>
    </row>
    <row r="10" spans="1:27" ht="95.25" x14ac:dyDescent="0.25">
      <c r="A10" s="8">
        <v>2013</v>
      </c>
      <c r="B10" s="9" t="s">
        <v>29</v>
      </c>
      <c r="C10" s="9" t="s">
        <v>183</v>
      </c>
      <c r="D10" s="9" t="s">
        <v>67</v>
      </c>
      <c r="E10" s="9" t="s">
        <v>198</v>
      </c>
      <c r="F10" s="9" t="s">
        <v>148</v>
      </c>
      <c r="G10" s="9">
        <f>15/0.2</f>
        <v>75</v>
      </c>
      <c r="H10" s="10" t="s">
        <v>241</v>
      </c>
      <c r="I10" s="10" t="s">
        <v>241</v>
      </c>
      <c r="J10" s="9" t="s">
        <v>112</v>
      </c>
      <c r="K10" s="9" t="s">
        <v>241</v>
      </c>
      <c r="L10" s="9" t="s">
        <v>241</v>
      </c>
      <c r="M10" s="9" t="s">
        <v>241</v>
      </c>
      <c r="N10" s="10" t="s">
        <v>461</v>
      </c>
      <c r="O10" s="12" t="s">
        <v>31</v>
      </c>
      <c r="P10" s="9" t="s">
        <v>27</v>
      </c>
      <c r="Q10" s="9" t="s">
        <v>460</v>
      </c>
      <c r="R10" s="9" t="s">
        <v>10</v>
      </c>
      <c r="S10" s="9" t="s">
        <v>455</v>
      </c>
      <c r="T10" s="9" t="s">
        <v>197</v>
      </c>
      <c r="U10" s="9" t="s">
        <v>196</v>
      </c>
      <c r="V10" s="9" t="s">
        <v>425</v>
      </c>
      <c r="W10" s="14">
        <f>100/15</f>
        <v>6.666666666666667</v>
      </c>
      <c r="X10" s="9" t="s">
        <v>459</v>
      </c>
      <c r="Y10" s="12" t="s">
        <v>373</v>
      </c>
      <c r="Z10" s="12" t="s">
        <v>344</v>
      </c>
      <c r="AA10" s="8"/>
    </row>
    <row r="11" spans="1:27" ht="38.25" x14ac:dyDescent="0.25">
      <c r="A11" s="8">
        <v>2013</v>
      </c>
      <c r="B11" s="9" t="s">
        <v>32</v>
      </c>
      <c r="C11" s="9" t="s">
        <v>178</v>
      </c>
      <c r="D11" s="9" t="s">
        <v>73</v>
      </c>
      <c r="E11" s="9" t="s">
        <v>198</v>
      </c>
      <c r="F11" s="9" t="s">
        <v>3</v>
      </c>
      <c r="G11" s="9"/>
      <c r="H11" s="10" t="s">
        <v>3</v>
      </c>
      <c r="I11" s="10" t="s">
        <v>3</v>
      </c>
      <c r="J11" s="9" t="s">
        <v>115</v>
      </c>
      <c r="K11" s="9"/>
      <c r="L11" s="9"/>
      <c r="M11" s="9" t="s">
        <v>203</v>
      </c>
      <c r="N11" s="9" t="s">
        <v>206</v>
      </c>
      <c r="O11" s="9" t="s">
        <v>204</v>
      </c>
      <c r="P11" s="9" t="s">
        <v>205</v>
      </c>
      <c r="Q11" s="9" t="s">
        <v>3</v>
      </c>
      <c r="R11" s="9" t="s">
        <v>15</v>
      </c>
      <c r="S11" s="9" t="s">
        <v>456</v>
      </c>
      <c r="T11" s="10" t="s">
        <v>444</v>
      </c>
      <c r="U11" s="10" t="s">
        <v>444</v>
      </c>
      <c r="V11" s="10" t="s">
        <v>444</v>
      </c>
      <c r="W11" s="10" t="s">
        <v>3</v>
      </c>
      <c r="X11" s="9" t="s">
        <v>207</v>
      </c>
      <c r="Y11" s="12" t="s">
        <v>376</v>
      </c>
      <c r="Z11" s="12" t="s">
        <v>346</v>
      </c>
      <c r="AA11" s="8"/>
    </row>
    <row r="12" spans="1:27" ht="25.5" x14ac:dyDescent="0.25">
      <c r="A12" s="8">
        <v>2014</v>
      </c>
      <c r="B12" s="9" t="s">
        <v>34</v>
      </c>
      <c r="C12" s="16" t="s">
        <v>193</v>
      </c>
      <c r="D12" s="9" t="s">
        <v>66</v>
      </c>
      <c r="E12" s="9" t="s">
        <v>198</v>
      </c>
      <c r="F12" s="12" t="s">
        <v>149</v>
      </c>
      <c r="G12" s="12">
        <f>60/0.75</f>
        <v>80</v>
      </c>
      <c r="H12" s="10" t="s">
        <v>3</v>
      </c>
      <c r="I12" s="10" t="s">
        <v>3</v>
      </c>
      <c r="J12" s="9" t="s">
        <v>98</v>
      </c>
      <c r="K12" s="9"/>
      <c r="L12" s="9"/>
      <c r="M12" s="9" t="s">
        <v>35</v>
      </c>
      <c r="N12" s="9" t="s">
        <v>212</v>
      </c>
      <c r="O12" s="9" t="s">
        <v>209</v>
      </c>
      <c r="P12" s="9" t="s">
        <v>210</v>
      </c>
      <c r="Q12" s="9" t="s">
        <v>3</v>
      </c>
      <c r="R12" s="9" t="s">
        <v>10</v>
      </c>
      <c r="S12" s="9" t="s">
        <v>457</v>
      </c>
      <c r="T12" s="9" t="s">
        <v>161</v>
      </c>
      <c r="U12" s="10" t="s">
        <v>3</v>
      </c>
      <c r="V12" s="9" t="s">
        <v>211</v>
      </c>
      <c r="W12" s="14">
        <f>100/60</f>
        <v>1.6666666666666667</v>
      </c>
      <c r="X12" s="9" t="s">
        <v>36</v>
      </c>
      <c r="Y12" s="12" t="s">
        <v>377</v>
      </c>
      <c r="Z12" s="12" t="s">
        <v>348</v>
      </c>
      <c r="AA12" s="8"/>
    </row>
    <row r="13" spans="1:27" ht="63.75" x14ac:dyDescent="0.25">
      <c r="A13" s="8">
        <v>2015</v>
      </c>
      <c r="B13" s="9" t="s">
        <v>37</v>
      </c>
      <c r="C13" s="9" t="s">
        <v>466</v>
      </c>
      <c r="D13" s="9" t="s">
        <v>80</v>
      </c>
      <c r="E13" s="9" t="s">
        <v>198</v>
      </c>
      <c r="F13" s="9" t="s">
        <v>150</v>
      </c>
      <c r="G13" s="9" t="str">
        <f>8/0.2&amp;", "&amp;12/0.2&amp;", "&amp;16/0.2</f>
        <v>40, 60, 80</v>
      </c>
      <c r="H13" s="9">
        <v>2850</v>
      </c>
      <c r="I13" s="10" t="s">
        <v>3</v>
      </c>
      <c r="J13" s="9" t="s">
        <v>50</v>
      </c>
      <c r="K13" s="9" t="s">
        <v>314</v>
      </c>
      <c r="L13" s="9" t="s">
        <v>315</v>
      </c>
      <c r="M13" s="9" t="s">
        <v>533</v>
      </c>
      <c r="N13" s="9" t="s">
        <v>216</v>
      </c>
      <c r="O13" s="9" t="s">
        <v>213</v>
      </c>
      <c r="P13" s="9" t="s">
        <v>217</v>
      </c>
      <c r="Q13" s="9" t="s">
        <v>220</v>
      </c>
      <c r="R13" s="9" t="s">
        <v>15</v>
      </c>
      <c r="S13" s="9" t="s">
        <v>218</v>
      </c>
      <c r="T13" s="10" t="s">
        <v>444</v>
      </c>
      <c r="U13" s="10" t="s">
        <v>444</v>
      </c>
      <c r="V13" s="10" t="s">
        <v>444</v>
      </c>
      <c r="W13" s="9" t="s">
        <v>471</v>
      </c>
      <c r="X13" s="9" t="s">
        <v>219</v>
      </c>
      <c r="Y13" s="12" t="s">
        <v>378</v>
      </c>
      <c r="Z13" s="12" t="s">
        <v>351</v>
      </c>
      <c r="AA13" s="8"/>
    </row>
    <row r="14" spans="1:27" ht="51" x14ac:dyDescent="0.25">
      <c r="A14" s="8">
        <v>2015</v>
      </c>
      <c r="B14" s="9" t="s">
        <v>38</v>
      </c>
      <c r="C14" s="15" t="s">
        <v>183</v>
      </c>
      <c r="D14" s="9" t="s">
        <v>66</v>
      </c>
      <c r="E14" s="9" t="s">
        <v>225</v>
      </c>
      <c r="F14" s="9" t="s">
        <v>221</v>
      </c>
      <c r="G14" s="9">
        <f>50/0.8</f>
        <v>62.5</v>
      </c>
      <c r="H14" s="10" t="s">
        <v>241</v>
      </c>
      <c r="I14" s="10" t="s">
        <v>241</v>
      </c>
      <c r="J14" s="9" t="s">
        <v>98</v>
      </c>
      <c r="K14" s="9"/>
      <c r="L14" s="9"/>
      <c r="M14" s="9" t="s">
        <v>241</v>
      </c>
      <c r="N14" s="12" t="s">
        <v>231</v>
      </c>
      <c r="O14" s="9" t="s">
        <v>18</v>
      </c>
      <c r="P14" s="9" t="s">
        <v>168</v>
      </c>
      <c r="Q14" s="9" t="s">
        <v>235</v>
      </c>
      <c r="R14" s="9" t="s">
        <v>10</v>
      </c>
      <c r="S14" s="9" t="s">
        <v>223</v>
      </c>
      <c r="T14" s="9" t="s">
        <v>240</v>
      </c>
      <c r="U14" s="9" t="s">
        <v>239</v>
      </c>
      <c r="V14" s="9" t="s">
        <v>211</v>
      </c>
      <c r="W14" s="14">
        <f>37.5/50</f>
        <v>0.75</v>
      </c>
      <c r="X14" s="9" t="s">
        <v>169</v>
      </c>
      <c r="Y14" s="12" t="s">
        <v>379</v>
      </c>
      <c r="Z14" s="12" t="s">
        <v>356</v>
      </c>
      <c r="AA14" s="8"/>
    </row>
    <row r="15" spans="1:27" ht="25.5" x14ac:dyDescent="0.25">
      <c r="A15" s="8">
        <v>2015</v>
      </c>
      <c r="B15" s="9" t="s">
        <v>38</v>
      </c>
      <c r="C15" s="15" t="s">
        <v>183</v>
      </c>
      <c r="D15" s="9" t="s">
        <v>66</v>
      </c>
      <c r="E15" s="9" t="s">
        <v>198</v>
      </c>
      <c r="F15" s="9" t="s">
        <v>221</v>
      </c>
      <c r="G15" s="9"/>
      <c r="H15" s="10" t="s">
        <v>241</v>
      </c>
      <c r="I15" s="10" t="s">
        <v>241</v>
      </c>
      <c r="J15" s="9" t="s">
        <v>98</v>
      </c>
      <c r="K15" s="9"/>
      <c r="L15" s="9"/>
      <c r="M15" s="9" t="s">
        <v>241</v>
      </c>
      <c r="N15" s="12" t="s">
        <v>232</v>
      </c>
      <c r="O15" s="9" t="s">
        <v>7</v>
      </c>
      <c r="P15" s="9" t="s">
        <v>39</v>
      </c>
      <c r="Q15" s="9" t="s">
        <v>11</v>
      </c>
      <c r="R15" s="9" t="s">
        <v>15</v>
      </c>
      <c r="S15" s="9" t="s">
        <v>458</v>
      </c>
      <c r="T15" s="10" t="s">
        <v>444</v>
      </c>
      <c r="U15" s="10" t="s">
        <v>444</v>
      </c>
      <c r="V15" s="10" t="s">
        <v>444</v>
      </c>
      <c r="W15" s="14">
        <f>37.5/50</f>
        <v>0.75</v>
      </c>
      <c r="X15" s="9" t="s">
        <v>169</v>
      </c>
      <c r="Y15" s="12" t="s">
        <v>379</v>
      </c>
      <c r="Z15" s="12" t="s">
        <v>357</v>
      </c>
      <c r="AA15" s="8"/>
    </row>
    <row r="16" spans="1:27" ht="38.25" x14ac:dyDescent="0.25">
      <c r="A16" s="8">
        <v>2015</v>
      </c>
      <c r="B16" s="9" t="s">
        <v>38</v>
      </c>
      <c r="C16" s="15" t="s">
        <v>183</v>
      </c>
      <c r="D16" s="9" t="s">
        <v>81</v>
      </c>
      <c r="E16" s="9" t="s">
        <v>225</v>
      </c>
      <c r="F16" s="9" t="s">
        <v>222</v>
      </c>
      <c r="G16" s="9">
        <f>20/0.3</f>
        <v>66.666666666666671</v>
      </c>
      <c r="H16" s="10" t="s">
        <v>241</v>
      </c>
      <c r="I16" s="10" t="s">
        <v>241</v>
      </c>
      <c r="J16" s="9" t="s">
        <v>98</v>
      </c>
      <c r="K16" s="9"/>
      <c r="L16" s="9"/>
      <c r="M16" s="9" t="s">
        <v>241</v>
      </c>
      <c r="N16" s="12" t="s">
        <v>233</v>
      </c>
      <c r="O16" s="9" t="s">
        <v>18</v>
      </c>
      <c r="P16" s="9" t="s">
        <v>226</v>
      </c>
      <c r="Q16" s="9" t="s">
        <v>236</v>
      </c>
      <c r="R16" s="9" t="s">
        <v>224</v>
      </c>
      <c r="S16" s="9" t="s">
        <v>223</v>
      </c>
      <c r="T16" s="9" t="s">
        <v>240</v>
      </c>
      <c r="U16" s="9" t="s">
        <v>239</v>
      </c>
      <c r="V16" s="9" t="s">
        <v>211</v>
      </c>
      <c r="W16" s="9" t="s">
        <v>328</v>
      </c>
      <c r="X16" s="9" t="s">
        <v>227</v>
      </c>
      <c r="Y16" s="12" t="s">
        <v>379</v>
      </c>
      <c r="Z16" s="12" t="s">
        <v>358</v>
      </c>
      <c r="AA16" s="8"/>
    </row>
    <row r="17" spans="1:27" ht="25.5" x14ac:dyDescent="0.25">
      <c r="A17" s="8">
        <v>2015</v>
      </c>
      <c r="B17" s="9" t="s">
        <v>38</v>
      </c>
      <c r="C17" s="15" t="s">
        <v>183</v>
      </c>
      <c r="D17" s="9" t="s">
        <v>81</v>
      </c>
      <c r="E17" s="9" t="s">
        <v>198</v>
      </c>
      <c r="F17" s="9" t="s">
        <v>222</v>
      </c>
      <c r="G17" s="9"/>
      <c r="H17" s="10" t="s">
        <v>241</v>
      </c>
      <c r="I17" s="10" t="s">
        <v>241</v>
      </c>
      <c r="J17" s="9" t="s">
        <v>98</v>
      </c>
      <c r="K17" s="9"/>
      <c r="L17" s="9"/>
      <c r="M17" s="9" t="s">
        <v>241</v>
      </c>
      <c r="N17" s="12" t="s">
        <v>234</v>
      </c>
      <c r="O17" s="9" t="s">
        <v>7</v>
      </c>
      <c r="P17" s="9" t="s">
        <v>39</v>
      </c>
      <c r="Q17" s="9" t="s">
        <v>3</v>
      </c>
      <c r="R17" s="9" t="s">
        <v>15</v>
      </c>
      <c r="S17" s="9" t="s">
        <v>458</v>
      </c>
      <c r="T17" s="10" t="s">
        <v>444</v>
      </c>
      <c r="U17" s="10" t="s">
        <v>444</v>
      </c>
      <c r="V17" s="10" t="s">
        <v>444</v>
      </c>
      <c r="W17" s="9" t="s">
        <v>11</v>
      </c>
      <c r="X17" s="9" t="s">
        <v>169</v>
      </c>
      <c r="Y17" s="12" t="s">
        <v>379</v>
      </c>
      <c r="Z17" s="12" t="s">
        <v>357</v>
      </c>
      <c r="AA17" s="8"/>
    </row>
    <row r="18" spans="1:27" ht="38.25" x14ac:dyDescent="0.25">
      <c r="A18" s="8">
        <v>2015</v>
      </c>
      <c r="B18" s="9" t="s">
        <v>38</v>
      </c>
      <c r="C18" s="9" t="s">
        <v>56</v>
      </c>
      <c r="D18" s="9" t="s">
        <v>66</v>
      </c>
      <c r="E18" s="9" t="s">
        <v>230</v>
      </c>
      <c r="F18" s="9" t="s">
        <v>238</v>
      </c>
      <c r="G18" s="9" t="str">
        <f>50/0.8&amp;", "&amp;50/0.32&amp;", "&amp;50/0.64</f>
        <v>62.5, 156.25, 78.125</v>
      </c>
      <c r="H18" s="10" t="s">
        <v>241</v>
      </c>
      <c r="I18" s="10" t="s">
        <v>241</v>
      </c>
      <c r="J18" s="9" t="s">
        <v>120</v>
      </c>
      <c r="K18" s="9"/>
      <c r="L18" s="9"/>
      <c r="M18" s="10" t="s">
        <v>241</v>
      </c>
      <c r="N18" s="10" t="s">
        <v>242</v>
      </c>
      <c r="O18" s="9" t="s">
        <v>40</v>
      </c>
      <c r="P18" s="9" t="s">
        <v>41</v>
      </c>
      <c r="Q18" s="9" t="s">
        <v>237</v>
      </c>
      <c r="R18" s="9" t="s">
        <v>3</v>
      </c>
      <c r="S18" s="9" t="s">
        <v>228</v>
      </c>
      <c r="T18" s="10" t="s">
        <v>3</v>
      </c>
      <c r="U18" s="10" t="s">
        <v>3</v>
      </c>
      <c r="V18" s="10" t="s">
        <v>3</v>
      </c>
      <c r="W18" s="10">
        <f>50/25</f>
        <v>2</v>
      </c>
      <c r="X18" s="10" t="s">
        <v>229</v>
      </c>
      <c r="Y18" s="13" t="s">
        <v>3</v>
      </c>
      <c r="Z18" s="12" t="s">
        <v>359</v>
      </c>
      <c r="AA18" s="8"/>
    </row>
    <row r="19" spans="1:27" ht="89.25" x14ac:dyDescent="0.25">
      <c r="A19" s="8">
        <v>2015</v>
      </c>
      <c r="B19" s="9" t="s">
        <v>482</v>
      </c>
      <c r="C19" s="16" t="s">
        <v>261</v>
      </c>
      <c r="D19" s="9" t="s">
        <v>249</v>
      </c>
      <c r="E19" s="9" t="s">
        <v>198</v>
      </c>
      <c r="F19" s="9" t="s">
        <v>252</v>
      </c>
      <c r="G19" s="9" t="str">
        <f>35/0.55&amp;", "&amp;18/0.2&amp;", "&amp;30/0.66</f>
        <v>63.6363636363636, 90, 45.4545454545455</v>
      </c>
      <c r="H19" s="9" t="s">
        <v>250</v>
      </c>
      <c r="I19" s="9" t="s">
        <v>251</v>
      </c>
      <c r="J19" s="9" t="s">
        <v>50</v>
      </c>
      <c r="K19" s="9"/>
      <c r="L19" s="9"/>
      <c r="M19" s="9" t="s">
        <v>255</v>
      </c>
      <c r="N19" s="10" t="s">
        <v>241</v>
      </c>
      <c r="O19" s="9" t="s">
        <v>256</v>
      </c>
      <c r="P19" s="9" t="s">
        <v>253</v>
      </c>
      <c r="Q19" s="9" t="s">
        <v>254</v>
      </c>
      <c r="R19" s="9" t="s">
        <v>162</v>
      </c>
      <c r="S19" s="9" t="s">
        <v>263</v>
      </c>
      <c r="T19" s="9" t="s">
        <v>243</v>
      </c>
      <c r="U19" s="9" t="s">
        <v>164</v>
      </c>
      <c r="V19" s="9" t="s">
        <v>211</v>
      </c>
      <c r="W19" s="9" t="s">
        <v>470</v>
      </c>
      <c r="X19" s="9" t="s">
        <v>248</v>
      </c>
      <c r="Y19" s="9" t="s">
        <v>170</v>
      </c>
      <c r="Z19" s="9" t="s">
        <v>361</v>
      </c>
      <c r="AA19" s="8"/>
    </row>
    <row r="20" spans="1:27" ht="76.5" x14ac:dyDescent="0.25">
      <c r="A20" s="8">
        <v>2015</v>
      </c>
      <c r="B20" s="9" t="s">
        <v>43</v>
      </c>
      <c r="C20" s="9" t="s">
        <v>262</v>
      </c>
      <c r="D20" s="9" t="s">
        <v>260</v>
      </c>
      <c r="E20" s="9" t="s">
        <v>198</v>
      </c>
      <c r="F20" s="9" t="s">
        <v>257</v>
      </c>
      <c r="G20" s="9" t="str">
        <f>30/0.55&amp;", "&amp;60/0.75&amp;", "&amp;8/0.04</f>
        <v>54.5454545454545, 80, 200</v>
      </c>
      <c r="H20" s="9" t="s">
        <v>258</v>
      </c>
      <c r="I20" s="9" t="s">
        <v>259</v>
      </c>
      <c r="J20" s="9" t="s">
        <v>124</v>
      </c>
      <c r="K20" s="9"/>
      <c r="L20" s="9"/>
      <c r="M20" s="9" t="s">
        <v>241</v>
      </c>
      <c r="N20" s="13" t="s">
        <v>272</v>
      </c>
      <c r="O20" s="9" t="s">
        <v>266</v>
      </c>
      <c r="P20" s="9" t="s">
        <v>44</v>
      </c>
      <c r="Q20" s="9" t="s">
        <v>267</v>
      </c>
      <c r="R20" s="9" t="s">
        <v>10</v>
      </c>
      <c r="S20" s="9" t="s">
        <v>264</v>
      </c>
      <c r="T20" s="9" t="s">
        <v>271</v>
      </c>
      <c r="U20" s="9" t="s">
        <v>269</v>
      </c>
      <c r="V20" s="9" t="s">
        <v>211</v>
      </c>
      <c r="W20" s="9" t="s">
        <v>329</v>
      </c>
      <c r="X20" s="12" t="s">
        <v>270</v>
      </c>
      <c r="Y20" s="12" t="e">
        <f>"NaCl:Water=3:97(wt.) "&amp;#REF!</f>
        <v>#REF!</v>
      </c>
      <c r="Z20" s="12" t="e">
        <f>"AccConImm "&amp;#REF!</f>
        <v>#REF!</v>
      </c>
      <c r="AA20" s="8"/>
    </row>
    <row r="21" spans="1:27" ht="51" x14ac:dyDescent="0.25">
      <c r="A21" s="8">
        <v>2015</v>
      </c>
      <c r="B21" s="9" t="s">
        <v>45</v>
      </c>
      <c r="C21" s="15" t="s">
        <v>183</v>
      </c>
      <c r="D21" s="9" t="s">
        <v>73</v>
      </c>
      <c r="E21" s="9" t="s">
        <v>198</v>
      </c>
      <c r="F21" s="9" t="s">
        <v>151</v>
      </c>
      <c r="G21" s="9">
        <f>15/0.39</f>
        <v>38.46153846153846</v>
      </c>
      <c r="H21" s="9" t="s">
        <v>241</v>
      </c>
      <c r="I21" s="9" t="s">
        <v>241</v>
      </c>
      <c r="J21" s="9" t="s">
        <v>120</v>
      </c>
      <c r="K21" s="9"/>
      <c r="L21" s="9"/>
      <c r="M21" s="9" t="s">
        <v>241</v>
      </c>
      <c r="N21" s="9" t="s">
        <v>241</v>
      </c>
      <c r="O21" s="9" t="s">
        <v>7</v>
      </c>
      <c r="P21" s="9" t="s">
        <v>167</v>
      </c>
      <c r="Q21" s="9" t="s">
        <v>275</v>
      </c>
      <c r="R21" s="9" t="s">
        <v>15</v>
      </c>
      <c r="S21" s="9" t="s">
        <v>274</v>
      </c>
      <c r="T21" s="10" t="s">
        <v>444</v>
      </c>
      <c r="U21" s="10" t="s">
        <v>444</v>
      </c>
      <c r="V21" s="10" t="s">
        <v>444</v>
      </c>
      <c r="W21" s="14">
        <f>50/15</f>
        <v>3.3333333333333335</v>
      </c>
      <c r="X21" s="9" t="s">
        <v>273</v>
      </c>
      <c r="Y21" s="9" t="s">
        <v>386</v>
      </c>
      <c r="Z21" s="9" t="s">
        <v>364</v>
      </c>
      <c r="AA21" s="8"/>
    </row>
    <row r="22" spans="1:27" ht="89.25" x14ac:dyDescent="0.25">
      <c r="A22" s="8">
        <v>2015</v>
      </c>
      <c r="B22" s="9" t="s">
        <v>46</v>
      </c>
      <c r="C22" s="15" t="s">
        <v>183</v>
      </c>
      <c r="D22" s="9" t="s">
        <v>282</v>
      </c>
      <c r="E22" s="9" t="s">
        <v>278</v>
      </c>
      <c r="F22" s="9" t="s">
        <v>279</v>
      </c>
      <c r="G22" s="9" t="str">
        <f>30/0.375&amp;", "&amp;30/0.3</f>
        <v>80, 100</v>
      </c>
      <c r="H22" s="9" t="s">
        <v>280</v>
      </c>
      <c r="I22" s="9" t="s">
        <v>281</v>
      </c>
      <c r="J22" s="9" t="s">
        <v>127</v>
      </c>
      <c r="K22" s="9" t="s">
        <v>317</v>
      </c>
      <c r="L22" s="9" t="s">
        <v>316</v>
      </c>
      <c r="M22" s="9" t="s">
        <v>286</v>
      </c>
      <c r="N22" s="9" t="s">
        <v>287</v>
      </c>
      <c r="O22" s="9" t="s">
        <v>165</v>
      </c>
      <c r="P22" s="9" t="s">
        <v>283</v>
      </c>
      <c r="Q22" s="9" t="s">
        <v>285</v>
      </c>
      <c r="R22" s="9" t="s">
        <v>162</v>
      </c>
      <c r="S22" s="9" t="s">
        <v>284</v>
      </c>
      <c r="T22" s="9" t="s">
        <v>163</v>
      </c>
      <c r="U22" s="9" t="s">
        <v>241</v>
      </c>
      <c r="V22" s="9" t="s">
        <v>211</v>
      </c>
      <c r="W22" s="14">
        <f>25/30</f>
        <v>0.83333333333333337</v>
      </c>
      <c r="X22" s="9" t="s">
        <v>394</v>
      </c>
      <c r="Y22" s="9" t="s">
        <v>389</v>
      </c>
      <c r="Z22" s="9" t="s">
        <v>365</v>
      </c>
      <c r="AA22" s="8"/>
    </row>
    <row r="23" spans="1:27" ht="38.25" x14ac:dyDescent="0.25">
      <c r="A23" s="8">
        <v>2016</v>
      </c>
      <c r="B23" s="9" t="s">
        <v>47</v>
      </c>
      <c r="C23" s="9" t="s">
        <v>241</v>
      </c>
      <c r="D23" s="9" t="s">
        <v>73</v>
      </c>
      <c r="E23" s="9" t="s">
        <v>198</v>
      </c>
      <c r="F23" s="9" t="s">
        <v>241</v>
      </c>
      <c r="G23" s="9"/>
      <c r="H23" s="9">
        <v>1000</v>
      </c>
      <c r="I23" s="9">
        <v>210</v>
      </c>
      <c r="J23" s="9" t="s">
        <v>288</v>
      </c>
      <c r="K23" s="9"/>
      <c r="L23" s="9"/>
      <c r="M23" s="9">
        <v>32.1</v>
      </c>
      <c r="N23" s="9">
        <v>2.8</v>
      </c>
      <c r="O23" s="9" t="s">
        <v>4</v>
      </c>
      <c r="P23" s="9" t="s">
        <v>166</v>
      </c>
      <c r="Q23" s="9">
        <v>8</v>
      </c>
      <c r="R23" s="9" t="s">
        <v>15</v>
      </c>
      <c r="S23" s="9" t="s">
        <v>289</v>
      </c>
      <c r="T23" s="10" t="s">
        <v>444</v>
      </c>
      <c r="U23" s="10" t="s">
        <v>444</v>
      </c>
      <c r="V23" s="10" t="s">
        <v>444</v>
      </c>
      <c r="W23" s="10" t="s">
        <v>3</v>
      </c>
      <c r="X23" s="9" t="s">
        <v>48</v>
      </c>
      <c r="Y23" s="9" t="s">
        <v>391</v>
      </c>
      <c r="Z23" s="9" t="s">
        <v>364</v>
      </c>
      <c r="AA23" s="8"/>
    </row>
    <row r="24" spans="1:27" ht="66.75" x14ac:dyDescent="0.25">
      <c r="A24" s="8">
        <v>2020</v>
      </c>
      <c r="B24" s="9" t="s">
        <v>49</v>
      </c>
      <c r="C24" s="9" t="s">
        <v>56</v>
      </c>
      <c r="D24" s="9" t="s">
        <v>67</v>
      </c>
      <c r="E24" s="9" t="s">
        <v>416</v>
      </c>
      <c r="F24" s="9" t="s">
        <v>403</v>
      </c>
      <c r="G24" s="9">
        <f>30/0.3</f>
        <v>100</v>
      </c>
      <c r="H24" s="9">
        <v>2500</v>
      </c>
      <c r="I24" s="9">
        <v>200</v>
      </c>
      <c r="J24" s="9" t="s">
        <v>50</v>
      </c>
      <c r="K24" s="9" t="s">
        <v>317</v>
      </c>
      <c r="L24" s="9" t="s">
        <v>241</v>
      </c>
      <c r="M24" s="9">
        <v>150</v>
      </c>
      <c r="N24" s="9" t="s">
        <v>404</v>
      </c>
      <c r="O24" s="9" t="e">
        <f>"Dog bone splitted "&amp;#REF!</f>
        <v>#REF!</v>
      </c>
      <c r="P24" s="9" t="s">
        <v>401</v>
      </c>
      <c r="Q24" s="9" t="s">
        <v>402</v>
      </c>
      <c r="R24" s="9" t="s">
        <v>15</v>
      </c>
      <c r="S24" s="9" t="s">
        <v>405</v>
      </c>
      <c r="T24" s="10" t="s">
        <v>444</v>
      </c>
      <c r="U24" s="10" t="s">
        <v>444</v>
      </c>
      <c r="V24" s="10" t="s">
        <v>444</v>
      </c>
      <c r="W24" s="9" t="str">
        <f>75/20&amp;", "&amp;75/10</f>
        <v>3.75, 7.5</v>
      </c>
      <c r="X24" s="12" t="s">
        <v>413</v>
      </c>
      <c r="Y24" s="12" t="s">
        <v>393</v>
      </c>
      <c r="Z24" s="9" t="e">
        <f>"W(18h)&amp;D "&amp;#REF!</f>
        <v>#REF!</v>
      </c>
      <c r="AA24" s="8"/>
    </row>
    <row r="25" spans="1:27" ht="51" customHeight="1" x14ac:dyDescent="0.25">
      <c r="A25" s="8">
        <v>2020</v>
      </c>
      <c r="B25" s="9" t="s">
        <v>51</v>
      </c>
      <c r="C25" s="15" t="s">
        <v>183</v>
      </c>
      <c r="D25" s="9" t="s">
        <v>67</v>
      </c>
      <c r="E25" s="9" t="s">
        <v>406</v>
      </c>
      <c r="F25" s="9" t="s">
        <v>154</v>
      </c>
      <c r="G25" s="9">
        <v>100</v>
      </c>
      <c r="H25" s="9">
        <v>2580</v>
      </c>
      <c r="I25" s="9">
        <v>200</v>
      </c>
      <c r="J25" s="9" t="s">
        <v>135</v>
      </c>
      <c r="K25" s="9" t="s">
        <v>317</v>
      </c>
      <c r="L25" s="9" t="s">
        <v>241</v>
      </c>
      <c r="M25" s="9">
        <v>150</v>
      </c>
      <c r="N25" s="9">
        <v>15</v>
      </c>
      <c r="O25" s="9" t="s">
        <v>165</v>
      </c>
      <c r="P25" s="9" t="s">
        <v>407</v>
      </c>
      <c r="Q25" s="9" t="s">
        <v>408</v>
      </c>
      <c r="R25" s="9" t="s">
        <v>15</v>
      </c>
      <c r="S25" s="9" t="s">
        <v>415</v>
      </c>
      <c r="T25" s="10" t="s">
        <v>444</v>
      </c>
      <c r="U25" s="10" t="s">
        <v>444</v>
      </c>
      <c r="V25" s="10" t="s">
        <v>444</v>
      </c>
      <c r="W25" s="14">
        <f>13/30</f>
        <v>0.43333333333333335</v>
      </c>
      <c r="X25" s="12" t="s">
        <v>412</v>
      </c>
      <c r="Y25" s="12" t="s">
        <v>389</v>
      </c>
      <c r="Z25" s="12" t="e">
        <f>"W(7w)&amp;D(1d) "&amp;#REF!</f>
        <v>#REF!</v>
      </c>
      <c r="AA25" s="8"/>
    </row>
    <row r="26" spans="1:27" ht="51" x14ac:dyDescent="0.25">
      <c r="A26" s="8">
        <v>2020</v>
      </c>
      <c r="B26" s="9" t="s">
        <v>306</v>
      </c>
      <c r="C26" s="15" t="s">
        <v>183</v>
      </c>
      <c r="D26" s="9" t="s">
        <v>67</v>
      </c>
      <c r="E26" s="17" t="s">
        <v>198</v>
      </c>
      <c r="F26" s="9" t="s">
        <v>154</v>
      </c>
      <c r="G26" s="9">
        <v>100</v>
      </c>
      <c r="H26" s="9">
        <v>2580</v>
      </c>
      <c r="I26" s="9">
        <v>200</v>
      </c>
      <c r="J26" s="17" t="s">
        <v>112</v>
      </c>
      <c r="K26" s="9" t="s">
        <v>317</v>
      </c>
      <c r="L26" s="9" t="s">
        <v>241</v>
      </c>
      <c r="M26" s="17">
        <v>150</v>
      </c>
      <c r="N26" s="17">
        <v>15</v>
      </c>
      <c r="O26" s="9" t="s">
        <v>165</v>
      </c>
      <c r="P26" s="9" t="s">
        <v>407</v>
      </c>
      <c r="Q26" s="9" t="s">
        <v>408</v>
      </c>
      <c r="R26" s="9" t="s">
        <v>409</v>
      </c>
      <c r="S26" s="9" t="s">
        <v>415</v>
      </c>
      <c r="T26" s="9" t="s">
        <v>410</v>
      </c>
      <c r="U26" s="17" t="s">
        <v>411</v>
      </c>
      <c r="V26" s="17" t="s">
        <v>211</v>
      </c>
      <c r="W26" s="14">
        <f>13/30</f>
        <v>0.43333333333333335</v>
      </c>
      <c r="X26" s="9" t="s">
        <v>414</v>
      </c>
      <c r="Y26" s="12" t="s">
        <v>389</v>
      </c>
      <c r="Z26" s="12" t="s">
        <v>350</v>
      </c>
      <c r="AA26" s="8"/>
    </row>
    <row r="27" spans="1:27" ht="51" x14ac:dyDescent="0.25">
      <c r="A27" s="8">
        <v>2021</v>
      </c>
      <c r="B27" s="9" t="s">
        <v>330</v>
      </c>
      <c r="C27" s="15" t="s">
        <v>183</v>
      </c>
      <c r="D27" s="9" t="s">
        <v>67</v>
      </c>
      <c r="E27" s="9" t="s">
        <v>198</v>
      </c>
      <c r="F27" s="9" t="s">
        <v>417</v>
      </c>
      <c r="G27" s="9">
        <v>100</v>
      </c>
      <c r="H27" s="9">
        <v>2580</v>
      </c>
      <c r="I27" s="9">
        <v>200</v>
      </c>
      <c r="J27" s="18" t="s">
        <v>112</v>
      </c>
      <c r="K27" s="9" t="s">
        <v>317</v>
      </c>
      <c r="L27" s="9" t="s">
        <v>241</v>
      </c>
      <c r="M27" s="9">
        <v>150</v>
      </c>
      <c r="N27" s="9" t="s">
        <v>427</v>
      </c>
      <c r="O27" s="9" t="e">
        <f>"Dog bone splitted "&amp;#REF!&amp;" (pull-out)"&amp;
" Dog bone (Direct tensile test)"</f>
        <v>#REF!</v>
      </c>
      <c r="P27" s="9" t="s">
        <v>421</v>
      </c>
      <c r="Q27" s="9" t="s">
        <v>420</v>
      </c>
      <c r="R27" s="9" t="s">
        <v>418</v>
      </c>
      <c r="S27" s="9" t="s">
        <v>428</v>
      </c>
      <c r="T27" s="10" t="s">
        <v>3</v>
      </c>
      <c r="U27" s="9" t="s">
        <v>424</v>
      </c>
      <c r="V27" s="9" t="s">
        <v>426</v>
      </c>
      <c r="W27" s="9" t="s">
        <v>422</v>
      </c>
      <c r="X27" s="12" t="s">
        <v>423</v>
      </c>
      <c r="Y27" s="12" t="s">
        <v>393</v>
      </c>
      <c r="Z27" s="9" t="s">
        <v>419</v>
      </c>
      <c r="AA27" s="8"/>
    </row>
    <row r="28" spans="1:27" x14ac:dyDescent="0.25">
      <c r="B28" s="9"/>
      <c r="C28" s="9"/>
      <c r="D28" s="9"/>
      <c r="E28" s="17"/>
      <c r="F28" s="17"/>
      <c r="G28" s="17"/>
      <c r="H28" s="17"/>
      <c r="I28" s="17"/>
      <c r="M28" s="17"/>
      <c r="N28" s="17"/>
      <c r="O28" s="17"/>
      <c r="P28" s="17"/>
      <c r="Q28" s="17"/>
      <c r="R28" s="17"/>
      <c r="S28" s="17"/>
      <c r="T28" s="17"/>
      <c r="U28" s="9"/>
      <c r="V28" s="17"/>
      <c r="W28" s="17"/>
      <c r="X28" s="17"/>
      <c r="Y28" s="9"/>
      <c r="Z28" s="9"/>
      <c r="AA28" s="8"/>
    </row>
    <row r="29" spans="1:27" ht="12.75" x14ac:dyDescent="0.2">
      <c r="A29" s="20" t="s">
        <v>397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AA29" s="9"/>
    </row>
    <row r="30" spans="1:27" ht="12.75" x14ac:dyDescent="0.2">
      <c r="A30" s="8" t="s">
        <v>366</v>
      </c>
      <c r="B30" s="8" t="s">
        <v>268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AA30" s="9"/>
    </row>
    <row r="31" spans="1:27" ht="12.75" x14ac:dyDescent="0.2">
      <c r="A31" s="8" t="s">
        <v>367</v>
      </c>
      <c r="B31" s="8" t="s">
        <v>398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7" ht="12.75" x14ac:dyDescent="0.2">
      <c r="A32" s="19" t="s">
        <v>383</v>
      </c>
      <c r="B32" s="19" t="s">
        <v>384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2.75" x14ac:dyDescent="0.2">
      <c r="A33" s="19" t="s">
        <v>399</v>
      </c>
      <c r="B33" s="19" t="s">
        <v>400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showGridLines="0" workbookViewId="0">
      <pane ySplit="2" topLeftCell="A3" activePane="bottomLeft" state="frozen"/>
      <selection pane="bottomLeft" activeCell="B9" sqref="B9"/>
    </sheetView>
  </sheetViews>
  <sheetFormatPr defaultColWidth="9.140625" defaultRowHeight="12.75" x14ac:dyDescent="0.25"/>
  <cols>
    <col min="1" max="1" width="15.5703125" style="3" bestFit="1" customWidth="1"/>
    <col min="2" max="2" width="10.7109375" style="3" customWidth="1"/>
    <col min="3" max="8" width="12.7109375" style="3" customWidth="1"/>
    <col min="9" max="16384" width="9.140625" style="3"/>
  </cols>
  <sheetData>
    <row r="1" spans="1:8" x14ac:dyDescent="0.25">
      <c r="A1" s="66" t="s">
        <v>0</v>
      </c>
      <c r="B1" s="66" t="s">
        <v>91</v>
      </c>
      <c r="C1" s="66" t="s">
        <v>54</v>
      </c>
      <c r="D1" s="66"/>
      <c r="E1" s="66"/>
      <c r="F1" s="66"/>
      <c r="G1" s="66"/>
      <c r="H1" s="66"/>
    </row>
    <row r="2" spans="1:8" x14ac:dyDescent="0.25">
      <c r="A2" s="67"/>
      <c r="B2" s="67"/>
      <c r="C2" s="63" t="s">
        <v>85</v>
      </c>
      <c r="D2" s="63" t="s">
        <v>86</v>
      </c>
      <c r="E2" s="63" t="s">
        <v>87</v>
      </c>
      <c r="F2" s="63" t="s">
        <v>88</v>
      </c>
      <c r="G2" s="63" t="s">
        <v>95</v>
      </c>
      <c r="H2" s="63" t="s">
        <v>89</v>
      </c>
    </row>
    <row r="3" spans="1:8" ht="25.5" x14ac:dyDescent="0.25">
      <c r="A3" s="3" t="s">
        <v>1</v>
      </c>
      <c r="B3" s="3" t="s">
        <v>98</v>
      </c>
      <c r="C3" s="3" t="s">
        <v>90</v>
      </c>
      <c r="D3" s="3" t="s">
        <v>93</v>
      </c>
      <c r="E3" s="3" t="s">
        <v>92</v>
      </c>
      <c r="F3" s="3" t="s">
        <v>94</v>
      </c>
      <c r="G3" s="3" t="s">
        <v>96</v>
      </c>
      <c r="H3" s="3" t="s">
        <v>97</v>
      </c>
    </row>
    <row r="4" spans="1:8" ht="25.5" x14ac:dyDescent="0.25">
      <c r="A4" s="3" t="s">
        <v>8</v>
      </c>
      <c r="B4" s="3" t="s">
        <v>98</v>
      </c>
      <c r="C4" s="3" t="s">
        <v>90</v>
      </c>
      <c r="D4" s="3" t="s">
        <v>99</v>
      </c>
      <c r="E4" s="3" t="s">
        <v>92</v>
      </c>
      <c r="F4" s="3" t="s">
        <v>94</v>
      </c>
      <c r="G4" s="4" t="s">
        <v>3</v>
      </c>
      <c r="H4" s="3" t="s">
        <v>73</v>
      </c>
    </row>
    <row r="5" spans="1:8" ht="25.5" x14ac:dyDescent="0.25">
      <c r="A5" s="3" t="s">
        <v>13</v>
      </c>
      <c r="B5" s="3" t="s">
        <v>50</v>
      </c>
      <c r="C5" s="3" t="s">
        <v>100</v>
      </c>
      <c r="D5" s="4" t="s">
        <v>3</v>
      </c>
      <c r="E5" s="3" t="s">
        <v>101</v>
      </c>
      <c r="F5" s="3" t="s">
        <v>94</v>
      </c>
      <c r="G5" s="3" t="s">
        <v>103</v>
      </c>
      <c r="H5" s="3" t="s">
        <v>73</v>
      </c>
    </row>
    <row r="6" spans="1:8" ht="63.75" x14ac:dyDescent="0.25">
      <c r="A6" s="3" t="s">
        <v>17</v>
      </c>
      <c r="B6" s="3" t="s">
        <v>98</v>
      </c>
      <c r="C6" s="3" t="s">
        <v>104</v>
      </c>
      <c r="D6" s="4" t="s">
        <v>105</v>
      </c>
      <c r="E6" s="3" t="s">
        <v>92</v>
      </c>
      <c r="F6" s="3" t="s">
        <v>94</v>
      </c>
      <c r="G6" s="3" t="s">
        <v>106</v>
      </c>
      <c r="H6" s="3" t="s">
        <v>107</v>
      </c>
    </row>
    <row r="7" spans="1:8" ht="25.5" x14ac:dyDescent="0.25">
      <c r="A7" s="3" t="s">
        <v>20</v>
      </c>
      <c r="B7" s="3" t="s">
        <v>98</v>
      </c>
      <c r="C7" s="3" t="s">
        <v>90</v>
      </c>
      <c r="D7" s="3" t="s">
        <v>99</v>
      </c>
      <c r="E7" s="3" t="s">
        <v>92</v>
      </c>
      <c r="F7" s="3" t="s">
        <v>94</v>
      </c>
      <c r="G7" s="4" t="s">
        <v>3</v>
      </c>
      <c r="H7" s="3" t="s">
        <v>108</v>
      </c>
    </row>
    <row r="8" spans="1:8" ht="25.5" x14ac:dyDescent="0.25">
      <c r="A8" s="3" t="s">
        <v>25</v>
      </c>
      <c r="B8" s="3" t="s">
        <v>98</v>
      </c>
      <c r="H8" s="3" t="s">
        <v>77</v>
      </c>
    </row>
    <row r="9" spans="1:8" ht="25.5" x14ac:dyDescent="0.25">
      <c r="A9" s="3" t="s">
        <v>25</v>
      </c>
      <c r="B9" s="3" t="s">
        <v>115</v>
      </c>
      <c r="H9" s="3" t="s">
        <v>78</v>
      </c>
    </row>
    <row r="10" spans="1:8" ht="25.5" x14ac:dyDescent="0.25">
      <c r="A10" s="3" t="s">
        <v>29</v>
      </c>
      <c r="B10" s="3" t="s">
        <v>112</v>
      </c>
      <c r="C10" s="3" t="s">
        <v>100</v>
      </c>
      <c r="D10" s="4" t="s">
        <v>3</v>
      </c>
      <c r="E10" s="3" t="s">
        <v>111</v>
      </c>
      <c r="F10" s="3" t="s">
        <v>94</v>
      </c>
      <c r="G10" s="3" t="s">
        <v>102</v>
      </c>
      <c r="H10" s="3" t="s">
        <v>67</v>
      </c>
    </row>
    <row r="11" spans="1:8" ht="76.5" x14ac:dyDescent="0.25">
      <c r="A11" s="3" t="s">
        <v>32</v>
      </c>
      <c r="B11" s="3" t="s">
        <v>113</v>
      </c>
      <c r="C11" s="3" t="s">
        <v>201</v>
      </c>
      <c r="D11" s="3" t="s">
        <v>202</v>
      </c>
      <c r="E11" s="3" t="s">
        <v>114</v>
      </c>
      <c r="F11" s="3" t="s">
        <v>19</v>
      </c>
      <c r="G11" s="3" t="s">
        <v>102</v>
      </c>
      <c r="H11" s="3" t="s">
        <v>73</v>
      </c>
    </row>
    <row r="12" spans="1:8" ht="38.25" x14ac:dyDescent="0.25">
      <c r="A12" s="3" t="s">
        <v>34</v>
      </c>
      <c r="B12" s="3" t="s">
        <v>98</v>
      </c>
      <c r="C12" s="3" t="s">
        <v>117</v>
      </c>
      <c r="D12" s="3" t="s">
        <v>208</v>
      </c>
      <c r="E12" s="3" t="s">
        <v>116</v>
      </c>
      <c r="F12" s="3" t="s">
        <v>119</v>
      </c>
      <c r="G12" s="3" t="s">
        <v>102</v>
      </c>
      <c r="H12" s="3" t="s">
        <v>66</v>
      </c>
    </row>
    <row r="13" spans="1:8" ht="25.5" x14ac:dyDescent="0.25">
      <c r="A13" s="3" t="s">
        <v>37</v>
      </c>
      <c r="B13" s="3" t="s">
        <v>50</v>
      </c>
      <c r="C13" s="3" t="s">
        <v>100</v>
      </c>
      <c r="D13" s="4" t="s">
        <v>3</v>
      </c>
      <c r="E13" s="3" t="s">
        <v>118</v>
      </c>
      <c r="F13" s="4" t="s">
        <v>3</v>
      </c>
      <c r="G13" s="3" t="s">
        <v>102</v>
      </c>
      <c r="H13" s="3" t="s">
        <v>80</v>
      </c>
    </row>
    <row r="14" spans="1:8" ht="25.5" x14ac:dyDescent="0.25">
      <c r="A14" s="3" t="s">
        <v>38</v>
      </c>
      <c r="B14" s="3" t="s">
        <v>98</v>
      </c>
      <c r="C14" s="3" t="s">
        <v>90</v>
      </c>
      <c r="D14" s="4" t="s">
        <v>3</v>
      </c>
      <c r="E14" s="3" t="s">
        <v>92</v>
      </c>
      <c r="F14" s="3" t="s">
        <v>94</v>
      </c>
      <c r="G14" s="3" t="s">
        <v>102</v>
      </c>
      <c r="H14" s="3" t="s">
        <v>130</v>
      </c>
    </row>
    <row r="15" spans="1:8" ht="25.5" x14ac:dyDescent="0.25">
      <c r="A15" s="3" t="s">
        <v>42</v>
      </c>
      <c r="B15" s="3" t="s">
        <v>50</v>
      </c>
      <c r="C15" s="3" t="s">
        <v>90</v>
      </c>
      <c r="D15" s="3" t="s">
        <v>121</v>
      </c>
      <c r="E15" s="3" t="s">
        <v>122</v>
      </c>
      <c r="F15" s="3" t="s">
        <v>94</v>
      </c>
      <c r="G15" s="3" t="s">
        <v>123</v>
      </c>
      <c r="H15" s="3" t="s">
        <v>82</v>
      </c>
    </row>
    <row r="16" spans="1:8" x14ac:dyDescent="0.25">
      <c r="A16" s="3" t="s">
        <v>43</v>
      </c>
      <c r="B16" s="3" t="s">
        <v>124</v>
      </c>
      <c r="C16" s="3" t="s">
        <v>90</v>
      </c>
      <c r="D16" s="3" t="s">
        <v>99</v>
      </c>
      <c r="E16" s="3" t="s">
        <v>125</v>
      </c>
      <c r="F16" s="3" t="s">
        <v>94</v>
      </c>
      <c r="G16" s="4" t="s">
        <v>3</v>
      </c>
      <c r="H16" s="3" t="s">
        <v>83</v>
      </c>
    </row>
    <row r="17" spans="1:8" x14ac:dyDescent="0.25">
      <c r="A17" s="3" t="s">
        <v>45</v>
      </c>
      <c r="B17" s="3" t="s">
        <v>120</v>
      </c>
      <c r="C17" s="3" t="s">
        <v>90</v>
      </c>
      <c r="D17" s="4" t="s">
        <v>3</v>
      </c>
      <c r="E17" s="3" t="s">
        <v>92</v>
      </c>
      <c r="F17" s="3" t="s">
        <v>94</v>
      </c>
      <c r="H17" s="3" t="s">
        <v>73</v>
      </c>
    </row>
    <row r="18" spans="1:8" ht="51" x14ac:dyDescent="0.25">
      <c r="A18" s="3" t="s">
        <v>46</v>
      </c>
      <c r="B18" s="3" t="s">
        <v>127</v>
      </c>
      <c r="C18" s="3" t="s">
        <v>131</v>
      </c>
      <c r="D18" s="4" t="s">
        <v>3</v>
      </c>
      <c r="E18" s="3" t="s">
        <v>92</v>
      </c>
      <c r="F18" s="3" t="s">
        <v>94</v>
      </c>
      <c r="G18" s="3" t="s">
        <v>132</v>
      </c>
      <c r="H18" s="3" t="s">
        <v>66</v>
      </c>
    </row>
    <row r="19" spans="1:8" ht="25.5" x14ac:dyDescent="0.25">
      <c r="A19" s="3" t="s">
        <v>47</v>
      </c>
      <c r="H19" s="3" t="s">
        <v>73</v>
      </c>
    </row>
    <row r="20" spans="1:8" ht="25.5" x14ac:dyDescent="0.25">
      <c r="A20" s="3" t="s">
        <v>49</v>
      </c>
      <c r="B20" s="3" t="s">
        <v>50</v>
      </c>
      <c r="H20" s="3" t="s">
        <v>133</v>
      </c>
    </row>
    <row r="21" spans="1:8" ht="25.5" x14ac:dyDescent="0.25">
      <c r="A21" s="55" t="s">
        <v>51</v>
      </c>
      <c r="B21" s="55" t="s">
        <v>135</v>
      </c>
      <c r="C21" s="55" t="s">
        <v>100</v>
      </c>
      <c r="D21" s="64" t="s">
        <v>3</v>
      </c>
      <c r="E21" s="55" t="s">
        <v>137</v>
      </c>
      <c r="F21" s="55" t="s">
        <v>94</v>
      </c>
      <c r="G21" s="55" t="s">
        <v>102</v>
      </c>
      <c r="H21" s="55" t="s">
        <v>134</v>
      </c>
    </row>
  </sheetData>
  <mergeCells count="3">
    <mergeCell ref="C1:H1"/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8"/>
  <sheetViews>
    <sheetView showGridLines="0" tabSelected="1" zoomScaleNormal="100" workbookViewId="0">
      <selection activeCell="A159" sqref="A159"/>
    </sheetView>
  </sheetViews>
  <sheetFormatPr defaultColWidth="9.140625" defaultRowHeight="12.75" x14ac:dyDescent="0.25"/>
  <cols>
    <col min="1" max="1" width="25.140625" style="1" bestFit="1" customWidth="1"/>
    <col min="2" max="2" width="11" style="1" bestFit="1" customWidth="1"/>
    <col min="3" max="3" width="12.42578125" style="1" customWidth="1"/>
    <col min="4" max="4" width="12.140625" style="1" bestFit="1" customWidth="1"/>
    <col min="5" max="5" width="12.42578125" style="1" bestFit="1" customWidth="1"/>
    <col min="6" max="6" width="2.7109375" style="1" customWidth="1"/>
    <col min="7" max="7" width="31.28515625" style="1" bestFit="1" customWidth="1"/>
    <col min="8" max="8" width="11" style="1" bestFit="1" customWidth="1"/>
    <col min="9" max="9" width="3.140625" style="1" bestFit="1" customWidth="1"/>
    <col min="10" max="10" width="19.28515625" style="1" bestFit="1" customWidth="1"/>
    <col min="11" max="11" width="12.42578125" style="1" bestFit="1" customWidth="1"/>
    <col min="12" max="12" width="2.7109375" style="1" customWidth="1"/>
    <col min="13" max="13" width="15.7109375" style="22" customWidth="1"/>
    <col min="14" max="14" width="11" style="1" bestFit="1" customWidth="1"/>
    <col min="15" max="15" width="12.140625" style="1" bestFit="1" customWidth="1"/>
    <col min="16" max="16" width="11.28515625" style="1" bestFit="1" customWidth="1"/>
    <col min="17" max="17" width="12.42578125" style="1" bestFit="1" customWidth="1"/>
    <col min="18" max="18" width="2.7109375" style="1" customWidth="1"/>
    <col min="19" max="19" width="9.140625" style="1"/>
    <col min="20" max="20" width="11" style="1" bestFit="1" customWidth="1"/>
    <col min="21" max="21" width="12.140625" style="1" bestFit="1" customWidth="1"/>
    <col min="22" max="22" width="11.28515625" style="1" bestFit="1" customWidth="1"/>
    <col min="23" max="23" width="12.42578125" style="1" bestFit="1" customWidth="1"/>
    <col min="24" max="16384" width="9.140625" style="1"/>
  </cols>
  <sheetData>
    <row r="1" spans="1:17" x14ac:dyDescent="0.25">
      <c r="A1" s="2" t="s">
        <v>555</v>
      </c>
    </row>
    <row r="2" spans="1:17" ht="13.5" x14ac:dyDescent="0.25">
      <c r="A2" s="46" t="s">
        <v>519</v>
      </c>
      <c r="B2" s="23" t="s">
        <v>465</v>
      </c>
      <c r="C2" s="31" t="s">
        <v>463</v>
      </c>
    </row>
    <row r="3" spans="1:17" x14ac:dyDescent="0.25">
      <c r="A3" s="47">
        <v>32.1</v>
      </c>
      <c r="B3" s="32">
        <v>8</v>
      </c>
      <c r="C3" s="32"/>
    </row>
    <row r="4" spans="1:17" x14ac:dyDescent="0.25">
      <c r="A4" s="47">
        <v>40</v>
      </c>
      <c r="B4" s="32">
        <v>14</v>
      </c>
      <c r="C4" s="32"/>
    </row>
    <row r="5" spans="1:17" x14ac:dyDescent="0.25">
      <c r="A5" s="47">
        <v>150</v>
      </c>
      <c r="B5" s="32">
        <v>60</v>
      </c>
      <c r="C5" s="32"/>
    </row>
    <row r="6" spans="1:17" x14ac:dyDescent="0.25">
      <c r="A6" s="47" t="s">
        <v>215</v>
      </c>
      <c r="B6" s="32">
        <v>43</v>
      </c>
      <c r="C6" s="32"/>
    </row>
    <row r="7" spans="1:17" x14ac:dyDescent="0.25">
      <c r="A7" s="47" t="s">
        <v>431</v>
      </c>
      <c r="B7" s="32">
        <v>10</v>
      </c>
      <c r="C7" s="32"/>
    </row>
    <row r="8" spans="1:17" x14ac:dyDescent="0.25">
      <c r="A8" s="47" t="s">
        <v>173</v>
      </c>
      <c r="B8" s="32">
        <v>30</v>
      </c>
      <c r="C8" s="32"/>
    </row>
    <row r="9" spans="1:17" x14ac:dyDescent="0.25">
      <c r="A9" s="47">
        <v>61</v>
      </c>
      <c r="B9" s="32">
        <v>15</v>
      </c>
      <c r="C9" s="32"/>
    </row>
    <row r="10" spans="1:17" x14ac:dyDescent="0.25">
      <c r="A10" s="47">
        <v>57.7</v>
      </c>
      <c r="B10" s="32">
        <v>11</v>
      </c>
      <c r="C10" s="32"/>
    </row>
    <row r="11" spans="1:17" x14ac:dyDescent="0.25">
      <c r="A11" s="47">
        <v>57.4</v>
      </c>
      <c r="B11" s="32">
        <v>4</v>
      </c>
      <c r="C11" s="32"/>
    </row>
    <row r="12" spans="1:17" x14ac:dyDescent="0.25">
      <c r="A12" s="48">
        <v>60</v>
      </c>
      <c r="B12" s="40">
        <v>12</v>
      </c>
      <c r="C12" s="32"/>
    </row>
    <row r="13" spans="1:17" x14ac:dyDescent="0.25">
      <c r="A13" s="68" t="s">
        <v>520</v>
      </c>
      <c r="B13" s="68"/>
      <c r="C13" s="68"/>
    </row>
    <row r="14" spans="1:17" x14ac:dyDescent="0.25">
      <c r="A14" s="49" t="s">
        <v>521</v>
      </c>
      <c r="B14" s="32">
        <v>0</v>
      </c>
      <c r="C14" s="39">
        <f t="shared" ref="C14:C20" si="0">B14/$B$30*100</f>
        <v>0</v>
      </c>
    </row>
    <row r="15" spans="1:17" x14ac:dyDescent="0.25">
      <c r="A15" s="49" t="s">
        <v>522</v>
      </c>
      <c r="B15" s="32">
        <v>22</v>
      </c>
      <c r="C15" s="39">
        <f t="shared" si="0"/>
        <v>7.7464788732394361</v>
      </c>
      <c r="Q15" s="26"/>
    </row>
    <row r="16" spans="1:17" x14ac:dyDescent="0.25">
      <c r="A16" s="49" t="s">
        <v>523</v>
      </c>
      <c r="B16" s="32">
        <v>0</v>
      </c>
      <c r="C16" s="39">
        <f t="shared" si="0"/>
        <v>0</v>
      </c>
    </row>
    <row r="17" spans="1:13" x14ac:dyDescent="0.25">
      <c r="A17" s="49" t="s">
        <v>524</v>
      </c>
      <c r="B17" s="32">
        <f>B7+B8+B10+B11</f>
        <v>55</v>
      </c>
      <c r="C17" s="39">
        <f t="shared" si="0"/>
        <v>19.366197183098592</v>
      </c>
      <c r="M17" s="65" t="s">
        <v>545</v>
      </c>
    </row>
    <row r="18" spans="1:13" x14ac:dyDescent="0.25">
      <c r="A18" s="49" t="s">
        <v>487</v>
      </c>
      <c r="B18" s="32">
        <f>B9+B12</f>
        <v>27</v>
      </c>
      <c r="C18" s="39">
        <f t="shared" si="0"/>
        <v>9.5070422535211261</v>
      </c>
    </row>
    <row r="19" spans="1:13" x14ac:dyDescent="0.25">
      <c r="A19" s="49" t="s">
        <v>488</v>
      </c>
      <c r="B19" s="32">
        <v>0</v>
      </c>
      <c r="C19" s="39">
        <f t="shared" si="0"/>
        <v>0</v>
      </c>
    </row>
    <row r="20" spans="1:13" x14ac:dyDescent="0.25">
      <c r="A20" s="49" t="s">
        <v>525</v>
      </c>
      <c r="B20" s="32">
        <v>0</v>
      </c>
      <c r="C20" s="39">
        <f t="shared" si="0"/>
        <v>0</v>
      </c>
    </row>
    <row r="21" spans="1:13" x14ac:dyDescent="0.25">
      <c r="A21" s="49" t="s">
        <v>526</v>
      </c>
      <c r="B21" s="32">
        <v>0</v>
      </c>
      <c r="C21" s="39">
        <f t="shared" ref="C21:C29" si="1">B21/$B$30*100</f>
        <v>0</v>
      </c>
    </row>
    <row r="22" spans="1:13" x14ac:dyDescent="0.25">
      <c r="A22" s="49" t="s">
        <v>527</v>
      </c>
      <c r="B22" s="32">
        <v>0</v>
      </c>
      <c r="C22" s="39">
        <f t="shared" si="1"/>
        <v>0</v>
      </c>
    </row>
    <row r="23" spans="1:13" x14ac:dyDescent="0.25">
      <c r="A23" s="49" t="s">
        <v>528</v>
      </c>
      <c r="B23" s="32">
        <v>0</v>
      </c>
      <c r="C23" s="39">
        <f t="shared" si="1"/>
        <v>0</v>
      </c>
    </row>
    <row r="24" spans="1:13" x14ac:dyDescent="0.25">
      <c r="A24" s="49" t="s">
        <v>529</v>
      </c>
      <c r="B24" s="32">
        <v>0</v>
      </c>
      <c r="C24" s="39">
        <f t="shared" si="1"/>
        <v>0</v>
      </c>
    </row>
    <row r="25" spans="1:13" x14ac:dyDescent="0.25">
      <c r="A25" s="49" t="s">
        <v>530</v>
      </c>
      <c r="B25" s="32">
        <v>0</v>
      </c>
      <c r="C25" s="39">
        <f t="shared" si="1"/>
        <v>0</v>
      </c>
    </row>
    <row r="26" spans="1:13" x14ac:dyDescent="0.25">
      <c r="A26" s="49" t="s">
        <v>531</v>
      </c>
      <c r="B26" s="32">
        <v>0</v>
      </c>
      <c r="C26" s="39">
        <f t="shared" si="1"/>
        <v>0</v>
      </c>
    </row>
    <row r="27" spans="1:13" x14ac:dyDescent="0.25">
      <c r="A27" s="49" t="s">
        <v>532</v>
      </c>
      <c r="B27" s="32">
        <f>B5+48</f>
        <v>108</v>
      </c>
      <c r="C27" s="39">
        <f t="shared" si="1"/>
        <v>38.028169014084504</v>
      </c>
    </row>
    <row r="28" spans="1:13" x14ac:dyDescent="0.25">
      <c r="A28" s="49" t="s">
        <v>534</v>
      </c>
      <c r="B28" s="32">
        <v>36</v>
      </c>
      <c r="C28" s="39">
        <f t="shared" si="1"/>
        <v>12.676056338028168</v>
      </c>
    </row>
    <row r="29" spans="1:13" x14ac:dyDescent="0.25">
      <c r="A29" s="50" t="s">
        <v>535</v>
      </c>
      <c r="B29" s="33">
        <v>36</v>
      </c>
      <c r="C29" s="42">
        <f t="shared" si="1"/>
        <v>12.676056338028168</v>
      </c>
    </row>
    <row r="30" spans="1:13" x14ac:dyDescent="0.25">
      <c r="A30" s="51" t="s">
        <v>518</v>
      </c>
      <c r="B30" s="36">
        <f>SUM(B14:B29)</f>
        <v>284</v>
      </c>
      <c r="C30" s="37"/>
    </row>
    <row r="31" spans="1:13" x14ac:dyDescent="0.25">
      <c r="A31" s="40"/>
      <c r="B31" s="40"/>
      <c r="C31" s="43"/>
    </row>
    <row r="32" spans="1:13" x14ac:dyDescent="0.25">
      <c r="A32" s="2" t="s">
        <v>556</v>
      </c>
    </row>
    <row r="33" spans="1:13" x14ac:dyDescent="0.25">
      <c r="A33" s="23" t="s">
        <v>290</v>
      </c>
      <c r="B33" s="31" t="s">
        <v>305</v>
      </c>
      <c r="C33" s="31" t="s">
        <v>291</v>
      </c>
      <c r="D33" s="31" t="s">
        <v>462</v>
      </c>
      <c r="E33" s="31" t="s">
        <v>463</v>
      </c>
    </row>
    <row r="34" spans="1:13" x14ac:dyDescent="0.25">
      <c r="A34" s="1" t="s">
        <v>500</v>
      </c>
      <c r="B34" s="32">
        <v>1</v>
      </c>
      <c r="C34" s="29">
        <f t="shared" ref="C34:C47" si="2">B34/$B$48*100</f>
        <v>3.5714285714285712</v>
      </c>
      <c r="D34" s="32">
        <v>17</v>
      </c>
      <c r="E34" s="34">
        <f t="shared" ref="E34:E47" si="3">D34/$D$48*100</f>
        <v>3.9080459770114944</v>
      </c>
    </row>
    <row r="35" spans="1:13" x14ac:dyDescent="0.25">
      <c r="A35" s="1" t="s">
        <v>501</v>
      </c>
      <c r="B35" s="32">
        <v>1</v>
      </c>
      <c r="C35" s="29">
        <f t="shared" si="2"/>
        <v>3.5714285714285712</v>
      </c>
      <c r="D35" s="32">
        <v>43</v>
      </c>
      <c r="E35" s="34">
        <f t="shared" si="3"/>
        <v>9.8850574712643677</v>
      </c>
      <c r="M35" s="65" t="s">
        <v>546</v>
      </c>
    </row>
    <row r="36" spans="1:13" x14ac:dyDescent="0.25">
      <c r="A36" s="1" t="s">
        <v>508</v>
      </c>
      <c r="B36" s="32">
        <v>1</v>
      </c>
      <c r="C36" s="29">
        <f t="shared" si="2"/>
        <v>3.5714285714285712</v>
      </c>
      <c r="D36" s="32">
        <v>17</v>
      </c>
      <c r="E36" s="34">
        <f t="shared" si="3"/>
        <v>3.9080459770114944</v>
      </c>
    </row>
    <row r="37" spans="1:13" x14ac:dyDescent="0.25">
      <c r="A37" s="1" t="s">
        <v>502</v>
      </c>
      <c r="B37" s="32">
        <v>1</v>
      </c>
      <c r="C37" s="29">
        <f t="shared" si="2"/>
        <v>3.5714285714285712</v>
      </c>
      <c r="D37" s="32">
        <v>9</v>
      </c>
      <c r="E37" s="34">
        <f t="shared" si="3"/>
        <v>2.0689655172413794</v>
      </c>
    </row>
    <row r="38" spans="1:13" x14ac:dyDescent="0.25">
      <c r="A38" s="1" t="s">
        <v>513</v>
      </c>
      <c r="B38" s="32">
        <v>1</v>
      </c>
      <c r="C38" s="29">
        <f t="shared" si="2"/>
        <v>3.5714285714285712</v>
      </c>
      <c r="D38" s="32">
        <v>19</v>
      </c>
      <c r="E38" s="34">
        <f t="shared" si="3"/>
        <v>4.3678160919540225</v>
      </c>
    </row>
    <row r="39" spans="1:13" x14ac:dyDescent="0.25">
      <c r="A39" s="1" t="s">
        <v>503</v>
      </c>
      <c r="B39" s="32">
        <v>1</v>
      </c>
      <c r="C39" s="29">
        <f t="shared" si="2"/>
        <v>3.5714285714285712</v>
      </c>
      <c r="D39" s="32">
        <v>11</v>
      </c>
      <c r="E39" s="34">
        <f t="shared" si="3"/>
        <v>2.5287356321839081</v>
      </c>
    </row>
    <row r="40" spans="1:13" x14ac:dyDescent="0.25">
      <c r="A40" s="1" t="s">
        <v>504</v>
      </c>
      <c r="B40" s="32">
        <v>1</v>
      </c>
      <c r="C40" s="29">
        <f t="shared" si="2"/>
        <v>3.5714285714285712</v>
      </c>
      <c r="D40" s="32">
        <v>3</v>
      </c>
      <c r="E40" s="34">
        <f t="shared" si="3"/>
        <v>0.68965517241379315</v>
      </c>
    </row>
    <row r="41" spans="1:13" x14ac:dyDescent="0.25">
      <c r="A41" s="1" t="s">
        <v>505</v>
      </c>
      <c r="B41" s="32">
        <v>1</v>
      </c>
      <c r="C41" s="29">
        <f t="shared" si="2"/>
        <v>3.5714285714285712</v>
      </c>
      <c r="D41" s="32">
        <v>3</v>
      </c>
      <c r="E41" s="34">
        <f t="shared" si="3"/>
        <v>0.68965517241379315</v>
      </c>
    </row>
    <row r="42" spans="1:13" x14ac:dyDescent="0.25">
      <c r="A42" s="1" t="s">
        <v>506</v>
      </c>
      <c r="B42" s="32">
        <v>5</v>
      </c>
      <c r="C42" s="29">
        <f t="shared" si="2"/>
        <v>17.857142857142858</v>
      </c>
      <c r="D42" s="32">
        <v>101</v>
      </c>
      <c r="E42" s="34">
        <f t="shared" si="3"/>
        <v>23.218390804597703</v>
      </c>
    </row>
    <row r="43" spans="1:13" x14ac:dyDescent="0.25">
      <c r="A43" s="1" t="s">
        <v>512</v>
      </c>
      <c r="B43" s="32">
        <v>2</v>
      </c>
      <c r="C43" s="29">
        <f t="shared" si="2"/>
        <v>7.1428571428571423</v>
      </c>
      <c r="D43" s="32">
        <v>16</v>
      </c>
      <c r="E43" s="34">
        <f t="shared" si="3"/>
        <v>3.6781609195402298</v>
      </c>
    </row>
    <row r="44" spans="1:13" x14ac:dyDescent="0.25">
      <c r="A44" s="1" t="s">
        <v>507</v>
      </c>
      <c r="B44" s="32">
        <v>4</v>
      </c>
      <c r="C44" s="29">
        <f t="shared" si="2"/>
        <v>14.285714285714285</v>
      </c>
      <c r="D44" s="32">
        <v>104</v>
      </c>
      <c r="E44" s="34">
        <f t="shared" si="3"/>
        <v>23.908045977011493</v>
      </c>
    </row>
    <row r="45" spans="1:13" x14ac:dyDescent="0.25">
      <c r="A45" s="1" t="s">
        <v>509</v>
      </c>
      <c r="B45" s="32">
        <v>7</v>
      </c>
      <c r="C45" s="29">
        <f t="shared" si="2"/>
        <v>25</v>
      </c>
      <c r="D45" s="32">
        <v>63</v>
      </c>
      <c r="E45" s="34">
        <f t="shared" si="3"/>
        <v>14.482758620689657</v>
      </c>
    </row>
    <row r="46" spans="1:13" x14ac:dyDescent="0.25">
      <c r="A46" s="1" t="s">
        <v>510</v>
      </c>
      <c r="B46" s="32">
        <v>1</v>
      </c>
      <c r="C46" s="29">
        <f t="shared" si="2"/>
        <v>3.5714285714285712</v>
      </c>
      <c r="D46" s="32">
        <v>12</v>
      </c>
      <c r="E46" s="34">
        <f t="shared" si="3"/>
        <v>2.7586206896551726</v>
      </c>
    </row>
    <row r="47" spans="1:13" x14ac:dyDescent="0.25">
      <c r="A47" s="27" t="s">
        <v>511</v>
      </c>
      <c r="B47" s="33">
        <v>1</v>
      </c>
      <c r="C47" s="30">
        <f t="shared" si="2"/>
        <v>3.5714285714285712</v>
      </c>
      <c r="D47" s="33">
        <v>17</v>
      </c>
      <c r="E47" s="35">
        <f t="shared" si="3"/>
        <v>3.9080459770114944</v>
      </c>
    </row>
    <row r="48" spans="1:13" x14ac:dyDescent="0.25">
      <c r="A48" s="37" t="s">
        <v>518</v>
      </c>
      <c r="B48" s="36">
        <f>SUM(B34:B47)</f>
        <v>28</v>
      </c>
      <c r="C48" s="38"/>
      <c r="D48" s="36">
        <f>SUM(D34:D47)</f>
        <v>435</v>
      </c>
      <c r="E48" s="36"/>
    </row>
    <row r="49" spans="1:13" x14ac:dyDescent="0.25">
      <c r="C49" s="24"/>
    </row>
    <row r="50" spans="1:13" x14ac:dyDescent="0.25">
      <c r="A50" s="2" t="s">
        <v>557</v>
      </c>
    </row>
    <row r="51" spans="1:13" x14ac:dyDescent="0.25">
      <c r="A51" s="44" t="s">
        <v>141</v>
      </c>
      <c r="B51" s="31" t="s">
        <v>465</v>
      </c>
      <c r="C51" s="31" t="s">
        <v>463</v>
      </c>
    </row>
    <row r="52" spans="1:13" x14ac:dyDescent="0.25">
      <c r="A52" s="22" t="s">
        <v>485</v>
      </c>
      <c r="B52" s="32">
        <v>56</v>
      </c>
      <c r="C52" s="34">
        <f t="shared" ref="C52:C58" si="4">B52/$B$59*100</f>
        <v>10.294117647058822</v>
      </c>
    </row>
    <row r="53" spans="1:13" x14ac:dyDescent="0.25">
      <c r="A53" s="22" t="s">
        <v>486</v>
      </c>
      <c r="B53" s="32">
        <v>103</v>
      </c>
      <c r="C53" s="34">
        <f t="shared" si="4"/>
        <v>18.933823529411764</v>
      </c>
      <c r="M53" s="65" t="s">
        <v>547</v>
      </c>
    </row>
    <row r="54" spans="1:13" x14ac:dyDescent="0.25">
      <c r="A54" s="22" t="s">
        <v>487</v>
      </c>
      <c r="B54" s="32">
        <f>95+33+22</f>
        <v>150</v>
      </c>
      <c r="C54" s="34">
        <f t="shared" si="4"/>
        <v>27.573529411764707</v>
      </c>
    </row>
    <row r="55" spans="1:13" x14ac:dyDescent="0.25">
      <c r="A55" s="22" t="s">
        <v>488</v>
      </c>
      <c r="B55" s="32">
        <f>83+12</f>
        <v>95</v>
      </c>
      <c r="C55" s="34">
        <f t="shared" si="4"/>
        <v>17.463235294117645</v>
      </c>
    </row>
    <row r="56" spans="1:13" x14ac:dyDescent="0.25">
      <c r="A56" s="22" t="s">
        <v>483</v>
      </c>
      <c r="B56" s="32">
        <v>33</v>
      </c>
      <c r="C56" s="34">
        <f t="shared" si="4"/>
        <v>6.0661764705882355</v>
      </c>
    </row>
    <row r="57" spans="1:13" x14ac:dyDescent="0.25">
      <c r="A57" s="22" t="s">
        <v>489</v>
      </c>
      <c r="B57" s="32">
        <f>78+12</f>
        <v>90</v>
      </c>
      <c r="C57" s="34">
        <f t="shared" si="4"/>
        <v>16.544117647058822</v>
      </c>
    </row>
    <row r="58" spans="1:13" x14ac:dyDescent="0.25">
      <c r="A58" s="22" t="s">
        <v>484</v>
      </c>
      <c r="B58" s="32">
        <v>17</v>
      </c>
      <c r="C58" s="34">
        <f t="shared" si="4"/>
        <v>3.125</v>
      </c>
    </row>
    <row r="59" spans="1:13" x14ac:dyDescent="0.25">
      <c r="A59" s="45" t="s">
        <v>518</v>
      </c>
      <c r="B59" s="36">
        <f>SUM(B52:B58)</f>
        <v>544</v>
      </c>
      <c r="C59" s="36"/>
    </row>
    <row r="61" spans="1:13" x14ac:dyDescent="0.25">
      <c r="A61" s="2" t="s">
        <v>558</v>
      </c>
    </row>
    <row r="62" spans="1:13" x14ac:dyDescent="0.25">
      <c r="A62" s="23" t="s">
        <v>299</v>
      </c>
      <c r="B62" s="23" t="s">
        <v>465</v>
      </c>
      <c r="C62" s="23" t="s">
        <v>463</v>
      </c>
    </row>
    <row r="63" spans="1:13" x14ac:dyDescent="0.25">
      <c r="A63" s="28" t="s">
        <v>472</v>
      </c>
      <c r="B63" s="1">
        <v>10</v>
      </c>
      <c r="C63" s="25">
        <f t="shared" ref="C63:C69" si="5">B63*100/$B$70</f>
        <v>2.2779043280182232</v>
      </c>
    </row>
    <row r="64" spans="1:13" x14ac:dyDescent="0.25">
      <c r="A64" s="28" t="s">
        <v>473</v>
      </c>
      <c r="B64" s="1">
        <v>30</v>
      </c>
      <c r="C64" s="25">
        <f t="shared" si="5"/>
        <v>6.83371298405467</v>
      </c>
    </row>
    <row r="65" spans="1:13" x14ac:dyDescent="0.25">
      <c r="A65" s="1" t="s">
        <v>477</v>
      </c>
      <c r="B65" s="1">
        <f>33+42+33</f>
        <v>108</v>
      </c>
      <c r="C65" s="25">
        <f t="shared" si="5"/>
        <v>24.601366742596809</v>
      </c>
    </row>
    <row r="66" spans="1:13" x14ac:dyDescent="0.25">
      <c r="A66" s="1" t="s">
        <v>474</v>
      </c>
      <c r="B66" s="1">
        <v>43</v>
      </c>
      <c r="C66" s="25">
        <f t="shared" si="5"/>
        <v>9.7949886104783594</v>
      </c>
    </row>
    <row r="67" spans="1:13" x14ac:dyDescent="0.25">
      <c r="A67" s="28" t="s">
        <v>475</v>
      </c>
      <c r="B67" s="1">
        <v>162</v>
      </c>
      <c r="C67" s="25">
        <f t="shared" si="5"/>
        <v>36.902050113895214</v>
      </c>
    </row>
    <row r="68" spans="1:13" x14ac:dyDescent="0.25">
      <c r="A68" s="1" t="s">
        <v>476</v>
      </c>
      <c r="B68" s="1">
        <v>43</v>
      </c>
      <c r="C68" s="25">
        <f t="shared" si="5"/>
        <v>9.7949886104783594</v>
      </c>
    </row>
    <row r="69" spans="1:13" x14ac:dyDescent="0.25">
      <c r="A69" s="1" t="s">
        <v>478</v>
      </c>
      <c r="B69" s="1">
        <v>43</v>
      </c>
      <c r="C69" s="25">
        <f t="shared" si="5"/>
        <v>9.7949886104783594</v>
      </c>
    </row>
    <row r="70" spans="1:13" x14ac:dyDescent="0.25">
      <c r="A70" s="52" t="s">
        <v>518</v>
      </c>
      <c r="B70" s="37">
        <f>SUM(B63:B69)</f>
        <v>439</v>
      </c>
      <c r="C70" s="37"/>
    </row>
    <row r="72" spans="1:13" x14ac:dyDescent="0.25">
      <c r="A72" s="2" t="s">
        <v>559</v>
      </c>
      <c r="M72" s="65" t="s">
        <v>548</v>
      </c>
    </row>
    <row r="73" spans="1:13" x14ac:dyDescent="0.25">
      <c r="A73" s="23" t="s">
        <v>304</v>
      </c>
      <c r="B73" s="31" t="s">
        <v>305</v>
      </c>
      <c r="C73" s="31" t="s">
        <v>291</v>
      </c>
      <c r="D73" s="31" t="s">
        <v>465</v>
      </c>
      <c r="E73" s="31" t="s">
        <v>463</v>
      </c>
    </row>
    <row r="74" spans="1:13" x14ac:dyDescent="0.25">
      <c r="A74" s="1" t="s">
        <v>479</v>
      </c>
      <c r="B74" s="32">
        <v>2</v>
      </c>
      <c r="C74" s="29">
        <f>B74*100/$B$78</f>
        <v>8.3333333333333339</v>
      </c>
      <c r="D74" s="32">
        <v>6</v>
      </c>
      <c r="E74" s="34">
        <f>D74*100/$D$78</f>
        <v>1.4527845036319613</v>
      </c>
    </row>
    <row r="75" spans="1:13" x14ac:dyDescent="0.25">
      <c r="A75" s="1" t="s">
        <v>514</v>
      </c>
      <c r="B75" s="32">
        <v>3</v>
      </c>
      <c r="C75" s="29">
        <f>B75*100/$B$78</f>
        <v>12.5</v>
      </c>
      <c r="D75" s="32">
        <v>33</v>
      </c>
      <c r="E75" s="34">
        <f>D75*100/$D$78</f>
        <v>7.9903147699757868</v>
      </c>
    </row>
    <row r="76" spans="1:13" x14ac:dyDescent="0.25">
      <c r="A76" s="1" t="s">
        <v>515</v>
      </c>
      <c r="B76" s="32">
        <v>2</v>
      </c>
      <c r="C76" s="29">
        <f>B76*100/$B$78</f>
        <v>8.3333333333333339</v>
      </c>
      <c r="D76" s="32">
        <v>25</v>
      </c>
      <c r="E76" s="34">
        <f>D76*100/$D$78</f>
        <v>6.053268765133172</v>
      </c>
    </row>
    <row r="77" spans="1:13" x14ac:dyDescent="0.25">
      <c r="A77" s="1" t="s">
        <v>62</v>
      </c>
      <c r="B77" s="32">
        <v>17</v>
      </c>
      <c r="C77" s="29">
        <f>B77*100/$B$78</f>
        <v>70.833333333333329</v>
      </c>
      <c r="D77" s="32">
        <v>349</v>
      </c>
      <c r="E77" s="34">
        <f>D77*100/$D$78</f>
        <v>84.503631961259075</v>
      </c>
    </row>
    <row r="78" spans="1:13" x14ac:dyDescent="0.25">
      <c r="A78" s="37" t="s">
        <v>518</v>
      </c>
      <c r="B78" s="36">
        <f>SUM(B74:B77)</f>
        <v>24</v>
      </c>
      <c r="C78" s="36"/>
      <c r="D78" s="36">
        <f>SUM(D74:D77)</f>
        <v>413</v>
      </c>
      <c r="E78" s="36"/>
    </row>
    <row r="80" spans="1:13" x14ac:dyDescent="0.25">
      <c r="A80" s="2" t="s">
        <v>560</v>
      </c>
    </row>
    <row r="81" spans="1:13" ht="25.5" x14ac:dyDescent="0.25">
      <c r="A81" s="44" t="s">
        <v>303</v>
      </c>
      <c r="B81" s="31" t="s">
        <v>465</v>
      </c>
      <c r="C81" s="31" t="s">
        <v>463</v>
      </c>
    </row>
    <row r="82" spans="1:13" x14ac:dyDescent="0.25">
      <c r="A82" s="53">
        <v>0.43</v>
      </c>
      <c r="B82" s="32">
        <v>5</v>
      </c>
      <c r="C82" s="39">
        <f t="shared" ref="C82:C107" si="6">B82/$B$108*100</f>
        <v>0.96153846153846156</v>
      </c>
    </row>
    <row r="83" spans="1:13" x14ac:dyDescent="0.25">
      <c r="A83" s="53">
        <v>0.625</v>
      </c>
      <c r="B83" s="32">
        <v>6</v>
      </c>
      <c r="C83" s="39">
        <f t="shared" si="6"/>
        <v>1.153846153846154</v>
      </c>
    </row>
    <row r="84" spans="1:13" x14ac:dyDescent="0.25">
      <c r="A84" s="53">
        <v>0.75</v>
      </c>
      <c r="B84" s="32">
        <v>6</v>
      </c>
      <c r="C84" s="39">
        <f t="shared" si="6"/>
        <v>1.153846153846154</v>
      </c>
    </row>
    <row r="85" spans="1:13" x14ac:dyDescent="0.25">
      <c r="A85" s="53">
        <v>0.83</v>
      </c>
      <c r="B85" s="32">
        <v>24</v>
      </c>
      <c r="C85" s="39">
        <f t="shared" si="6"/>
        <v>4.6153846153846159</v>
      </c>
    </row>
    <row r="86" spans="1:13" x14ac:dyDescent="0.25">
      <c r="A86" s="53">
        <v>1.67</v>
      </c>
      <c r="B86" s="32">
        <v>14</v>
      </c>
      <c r="C86" s="39">
        <f t="shared" si="6"/>
        <v>2.6923076923076925</v>
      </c>
    </row>
    <row r="87" spans="1:13" x14ac:dyDescent="0.25">
      <c r="A87" s="53">
        <v>1.875</v>
      </c>
      <c r="B87" s="32">
        <v>10</v>
      </c>
      <c r="C87" s="39">
        <f t="shared" si="6"/>
        <v>1.9230769230769231</v>
      </c>
    </row>
    <row r="88" spans="1:13" x14ac:dyDescent="0.25">
      <c r="A88" s="53">
        <v>1.8759999999999999</v>
      </c>
      <c r="B88" s="32">
        <v>3</v>
      </c>
      <c r="C88" s="39">
        <f t="shared" si="6"/>
        <v>0.57692307692307698</v>
      </c>
    </row>
    <row r="89" spans="1:13" x14ac:dyDescent="0.25">
      <c r="A89" s="53">
        <v>2</v>
      </c>
      <c r="B89" s="32">
        <v>8</v>
      </c>
      <c r="C89" s="39">
        <f t="shared" si="6"/>
        <v>1.5384615384615385</v>
      </c>
    </row>
    <row r="90" spans="1:13" x14ac:dyDescent="0.25">
      <c r="A90" s="53">
        <v>2.5640000000000001</v>
      </c>
      <c r="B90" s="32">
        <v>9</v>
      </c>
      <c r="C90" s="39">
        <f t="shared" si="6"/>
        <v>1.7307692307692308</v>
      </c>
      <c r="M90" s="65" t="s">
        <v>549</v>
      </c>
    </row>
    <row r="91" spans="1:13" x14ac:dyDescent="0.25">
      <c r="A91" s="53">
        <f>100/35</f>
        <v>2.8571428571428572</v>
      </c>
      <c r="B91" s="32">
        <f>24+9</f>
        <v>33</v>
      </c>
      <c r="C91" s="39">
        <f t="shared" si="6"/>
        <v>6.3461538461538458</v>
      </c>
    </row>
    <row r="92" spans="1:13" x14ac:dyDescent="0.25">
      <c r="A92" s="53">
        <v>3.33</v>
      </c>
      <c r="B92" s="32">
        <v>14</v>
      </c>
      <c r="C92" s="39">
        <f t="shared" si="6"/>
        <v>2.6923076923076925</v>
      </c>
    </row>
    <row r="93" spans="1:13" x14ac:dyDescent="0.25">
      <c r="A93" s="53">
        <v>3.75</v>
      </c>
      <c r="B93" s="32">
        <v>45</v>
      </c>
      <c r="C93" s="39">
        <f t="shared" si="6"/>
        <v>8.6538461538461533</v>
      </c>
    </row>
    <row r="94" spans="1:13" x14ac:dyDescent="0.25">
      <c r="A94" s="53">
        <v>3.75</v>
      </c>
      <c r="B94" s="32">
        <v>10</v>
      </c>
      <c r="C94" s="39">
        <f t="shared" si="6"/>
        <v>1.9230769230769231</v>
      </c>
    </row>
    <row r="95" spans="1:13" x14ac:dyDescent="0.25">
      <c r="A95" s="53">
        <f>75/16</f>
        <v>4.6875</v>
      </c>
      <c r="B95" s="32">
        <v>24</v>
      </c>
      <c r="C95" s="39">
        <f t="shared" si="6"/>
        <v>4.6153846153846159</v>
      </c>
    </row>
    <row r="96" spans="1:13" x14ac:dyDescent="0.25">
      <c r="A96" s="53">
        <v>5.0759999999999996</v>
      </c>
      <c r="B96" s="32">
        <v>9</v>
      </c>
      <c r="C96" s="39">
        <f t="shared" si="6"/>
        <v>1.7307692307692308</v>
      </c>
    </row>
    <row r="97" spans="1:13" x14ac:dyDescent="0.25">
      <c r="A97" s="53">
        <v>5.26</v>
      </c>
      <c r="B97" s="32">
        <v>30</v>
      </c>
      <c r="C97" s="39">
        <f t="shared" si="6"/>
        <v>5.7692307692307692</v>
      </c>
    </row>
    <row r="98" spans="1:13" x14ac:dyDescent="0.25">
      <c r="A98" s="53">
        <f>75/12</f>
        <v>6.25</v>
      </c>
      <c r="B98" s="32">
        <v>43</v>
      </c>
      <c r="C98" s="39">
        <f t="shared" si="6"/>
        <v>8.2692307692307683</v>
      </c>
    </row>
    <row r="99" spans="1:13" x14ac:dyDescent="0.25">
      <c r="A99" s="53">
        <v>6.67</v>
      </c>
      <c r="B99" s="32">
        <v>18</v>
      </c>
      <c r="C99" s="39">
        <f t="shared" si="6"/>
        <v>3.4615384615384617</v>
      </c>
    </row>
    <row r="100" spans="1:13" x14ac:dyDescent="0.25">
      <c r="A100" s="53">
        <v>7.5</v>
      </c>
      <c r="B100" s="32">
        <v>45</v>
      </c>
      <c r="C100" s="39">
        <f t="shared" si="6"/>
        <v>8.6538461538461533</v>
      </c>
    </row>
    <row r="101" spans="1:13" x14ac:dyDescent="0.25">
      <c r="A101" s="53">
        <v>7.69</v>
      </c>
      <c r="B101" s="32">
        <v>11</v>
      </c>
      <c r="C101" s="39">
        <f t="shared" si="6"/>
        <v>2.1153846153846154</v>
      </c>
    </row>
    <row r="102" spans="1:13" x14ac:dyDescent="0.25">
      <c r="A102" s="53">
        <v>8.0299999999999994</v>
      </c>
      <c r="B102" s="32">
        <v>72</v>
      </c>
      <c r="C102" s="39">
        <f t="shared" si="6"/>
        <v>13.846153846153847</v>
      </c>
    </row>
    <row r="103" spans="1:13" x14ac:dyDescent="0.25">
      <c r="A103" s="53">
        <f>100/12</f>
        <v>8.3333333333333339</v>
      </c>
      <c r="B103" s="32">
        <v>19</v>
      </c>
      <c r="C103" s="39">
        <f t="shared" si="6"/>
        <v>3.6538461538461542</v>
      </c>
    </row>
    <row r="104" spans="1:13" x14ac:dyDescent="0.25">
      <c r="A104" s="53">
        <v>9.09</v>
      </c>
      <c r="B104" s="32">
        <v>8</v>
      </c>
      <c r="C104" s="39">
        <f t="shared" si="6"/>
        <v>1.5384615384615385</v>
      </c>
    </row>
    <row r="105" spans="1:13" x14ac:dyDescent="0.25">
      <c r="A105" s="53">
        <f>75/8</f>
        <v>9.375</v>
      </c>
      <c r="B105" s="32">
        <v>24</v>
      </c>
      <c r="C105" s="39">
        <f t="shared" si="6"/>
        <v>4.6153846153846159</v>
      </c>
    </row>
    <row r="106" spans="1:13" x14ac:dyDescent="0.25">
      <c r="A106" s="53">
        <v>12.5</v>
      </c>
      <c r="B106" s="32">
        <v>21</v>
      </c>
      <c r="C106" s="39">
        <f t="shared" si="6"/>
        <v>4.0384615384615383</v>
      </c>
    </row>
    <row r="107" spans="1:13" x14ac:dyDescent="0.25">
      <c r="A107" s="53">
        <v>19.231000000000002</v>
      </c>
      <c r="B107" s="32">
        <v>9</v>
      </c>
      <c r="C107" s="39">
        <f t="shared" si="6"/>
        <v>1.7307692307692308</v>
      </c>
    </row>
    <row r="108" spans="1:13" x14ac:dyDescent="0.25">
      <c r="A108" s="45" t="s">
        <v>518</v>
      </c>
      <c r="B108" s="36">
        <f>SUM(B82:B107)</f>
        <v>520</v>
      </c>
      <c r="C108" s="36"/>
    </row>
    <row r="109" spans="1:13" x14ac:dyDescent="0.25">
      <c r="A109" s="69" t="s">
        <v>536</v>
      </c>
      <c r="B109" s="69"/>
      <c r="C109" s="69"/>
    </row>
    <row r="110" spans="1:13" x14ac:dyDescent="0.25">
      <c r="A110" s="3" t="s">
        <v>490</v>
      </c>
      <c r="B110" s="32"/>
      <c r="C110" s="34">
        <f>SUM(C82:C84)</f>
        <v>3.2692307692307692</v>
      </c>
      <c r="M110" s="65" t="s">
        <v>550</v>
      </c>
    </row>
    <row r="111" spans="1:13" x14ac:dyDescent="0.25">
      <c r="A111" s="54" t="s">
        <v>491</v>
      </c>
      <c r="B111" s="32"/>
      <c r="C111" s="34">
        <f>SUM(C85)</f>
        <v>4.6153846153846159</v>
      </c>
    </row>
    <row r="112" spans="1:13" x14ac:dyDescent="0.25">
      <c r="A112" s="3" t="s">
        <v>492</v>
      </c>
      <c r="B112" s="32"/>
      <c r="C112" s="34">
        <f>SUM(C86:C91)</f>
        <v>14.807692307692307</v>
      </c>
    </row>
    <row r="113" spans="1:13" x14ac:dyDescent="0.25">
      <c r="A113" s="3" t="s">
        <v>493</v>
      </c>
      <c r="B113" s="32"/>
      <c r="C113" s="34">
        <f>SUM(C92:C94)</f>
        <v>13.26923076923077</v>
      </c>
    </row>
    <row r="114" spans="1:13" x14ac:dyDescent="0.25">
      <c r="A114" s="3" t="s">
        <v>494</v>
      </c>
      <c r="B114" s="32"/>
      <c r="C114" s="34">
        <f>SUM(C95:C97)</f>
        <v>12.115384615384617</v>
      </c>
    </row>
    <row r="115" spans="1:13" x14ac:dyDescent="0.25">
      <c r="A115" s="3" t="s">
        <v>495</v>
      </c>
      <c r="B115" s="32"/>
      <c r="C115" s="34">
        <f>SUM(C98:C100)</f>
        <v>20.384615384615383</v>
      </c>
    </row>
    <row r="116" spans="1:13" x14ac:dyDescent="0.25">
      <c r="A116" s="3" t="s">
        <v>496</v>
      </c>
      <c r="B116" s="32"/>
      <c r="C116" s="34">
        <f>SUM(C101:C104)</f>
        <v>21.153846153846157</v>
      </c>
    </row>
    <row r="117" spans="1:13" x14ac:dyDescent="0.25">
      <c r="A117" s="3" t="s">
        <v>497</v>
      </c>
      <c r="B117" s="32"/>
      <c r="C117" s="34">
        <f>C105</f>
        <v>4.6153846153846159</v>
      </c>
    </row>
    <row r="118" spans="1:13" x14ac:dyDescent="0.25">
      <c r="A118" s="3" t="s">
        <v>498</v>
      </c>
      <c r="B118" s="32"/>
      <c r="C118" s="34">
        <f>SUM(C105)</f>
        <v>4.6153846153846159</v>
      </c>
    </row>
    <row r="119" spans="1:13" x14ac:dyDescent="0.25">
      <c r="A119" s="55" t="s">
        <v>499</v>
      </c>
      <c r="B119" s="33"/>
      <c r="C119" s="35">
        <f>SUM(C106:C107)</f>
        <v>5.7692307692307692</v>
      </c>
    </row>
    <row r="120" spans="1:13" x14ac:dyDescent="0.25">
      <c r="A120" s="22"/>
      <c r="E120" s="24"/>
    </row>
    <row r="121" spans="1:13" x14ac:dyDescent="0.25">
      <c r="A121" s="2" t="s">
        <v>561</v>
      </c>
    </row>
    <row r="122" spans="1:13" x14ac:dyDescent="0.25">
      <c r="A122" s="56" t="s">
        <v>537</v>
      </c>
      <c r="B122" s="59" t="s">
        <v>465</v>
      </c>
      <c r="C122" s="59" t="s">
        <v>463</v>
      </c>
    </row>
    <row r="123" spans="1:13" x14ac:dyDescent="0.25">
      <c r="A123" s="58" t="s">
        <v>516</v>
      </c>
      <c r="B123" s="60">
        <v>125</v>
      </c>
      <c r="C123" s="61">
        <f>B123/$B$125*100</f>
        <v>29.069767441860467</v>
      </c>
    </row>
    <row r="124" spans="1:13" x14ac:dyDescent="0.25">
      <c r="A124" s="57" t="s">
        <v>517</v>
      </c>
      <c r="B124" s="33">
        <v>305</v>
      </c>
      <c r="C124" s="30">
        <f>B124/$B$125*100</f>
        <v>70.930232558139537</v>
      </c>
      <c r="M124" s="65" t="s">
        <v>551</v>
      </c>
    </row>
    <row r="125" spans="1:13" x14ac:dyDescent="0.25">
      <c r="A125" s="57" t="s">
        <v>518</v>
      </c>
      <c r="B125" s="33">
        <f>SUM(B123:B124)</f>
        <v>430</v>
      </c>
      <c r="C125" s="33"/>
    </row>
    <row r="127" spans="1:13" x14ac:dyDescent="0.25">
      <c r="A127" s="2" t="s">
        <v>562</v>
      </c>
    </row>
    <row r="128" spans="1:13" x14ac:dyDescent="0.25">
      <c r="A128" s="44" t="s">
        <v>298</v>
      </c>
      <c r="B128" s="31" t="s">
        <v>465</v>
      </c>
      <c r="C128" s="31" t="s">
        <v>463</v>
      </c>
    </row>
    <row r="129" spans="1:13" x14ac:dyDescent="0.25">
      <c r="A129" s="22" t="s">
        <v>301</v>
      </c>
      <c r="B129" s="32">
        <v>71</v>
      </c>
      <c r="C129" s="34">
        <f>B129/$B$132*100</f>
        <v>27.413127413127413</v>
      </c>
    </row>
    <row r="130" spans="1:13" x14ac:dyDescent="0.25">
      <c r="A130" s="22" t="s">
        <v>302</v>
      </c>
      <c r="B130" s="32">
        <v>12</v>
      </c>
      <c r="C130" s="34">
        <f>B130/$B$132*100</f>
        <v>4.6332046332046328</v>
      </c>
    </row>
    <row r="131" spans="1:13" x14ac:dyDescent="0.25">
      <c r="A131" s="22" t="s">
        <v>300</v>
      </c>
      <c r="B131" s="32">
        <v>176</v>
      </c>
      <c r="C131" s="34">
        <f>B131/$B$132*100</f>
        <v>67.953667953667946</v>
      </c>
    </row>
    <row r="132" spans="1:13" x14ac:dyDescent="0.25">
      <c r="A132" s="45" t="s">
        <v>518</v>
      </c>
      <c r="B132" s="36">
        <f>SUM(B129:B131)</f>
        <v>259</v>
      </c>
      <c r="C132" s="36"/>
    </row>
    <row r="135" spans="1:13" x14ac:dyDescent="0.25">
      <c r="A135" s="2" t="s">
        <v>563</v>
      </c>
    </row>
    <row r="136" spans="1:13" x14ac:dyDescent="0.25">
      <c r="A136" s="44" t="s">
        <v>292</v>
      </c>
      <c r="B136" s="23"/>
      <c r="C136" s="23"/>
      <c r="D136" s="31" t="s">
        <v>465</v>
      </c>
      <c r="E136" s="31" t="s">
        <v>463</v>
      </c>
    </row>
    <row r="137" spans="1:13" x14ac:dyDescent="0.25">
      <c r="A137" s="22" t="s">
        <v>366</v>
      </c>
      <c r="B137" s="1" t="s">
        <v>296</v>
      </c>
      <c r="C137" s="24"/>
      <c r="D137" s="32">
        <v>72</v>
      </c>
      <c r="E137" s="34">
        <f>D137/$D$142*100</f>
        <v>29.508196721311474</v>
      </c>
    </row>
    <row r="138" spans="1:13" x14ac:dyDescent="0.25">
      <c r="A138" s="22" t="s">
        <v>367</v>
      </c>
      <c r="B138" s="1" t="s">
        <v>294</v>
      </c>
      <c r="C138" s="24"/>
      <c r="D138" s="32">
        <v>3</v>
      </c>
      <c r="E138" s="34">
        <f>D138/$D$142*100</f>
        <v>1.2295081967213115</v>
      </c>
      <c r="M138" s="65" t="s">
        <v>552</v>
      </c>
    </row>
    <row r="139" spans="1:13" x14ac:dyDescent="0.25">
      <c r="A139" s="22" t="s">
        <v>383</v>
      </c>
      <c r="B139" s="1" t="s">
        <v>295</v>
      </c>
      <c r="C139" s="24"/>
      <c r="D139" s="32">
        <v>27</v>
      </c>
      <c r="E139" s="34">
        <f>D139/$D$142*100</f>
        <v>11.065573770491802</v>
      </c>
    </row>
    <row r="140" spans="1:13" x14ac:dyDescent="0.25">
      <c r="A140" s="22" t="s">
        <v>399</v>
      </c>
      <c r="B140" s="1" t="s">
        <v>293</v>
      </c>
      <c r="C140" s="24"/>
      <c r="D140" s="32">
        <v>22</v>
      </c>
      <c r="E140" s="34">
        <f>D140/$D$142*100</f>
        <v>9.0163934426229506</v>
      </c>
    </row>
    <row r="141" spans="1:13" x14ac:dyDescent="0.25">
      <c r="A141" s="22" t="s">
        <v>480</v>
      </c>
      <c r="B141" s="1" t="s">
        <v>297</v>
      </c>
      <c r="C141" s="24"/>
      <c r="D141" s="32">
        <v>120</v>
      </c>
      <c r="E141" s="34">
        <f>D141/$D$142*100</f>
        <v>49.180327868852459</v>
      </c>
      <c r="M141" s="65"/>
    </row>
    <row r="142" spans="1:13" x14ac:dyDescent="0.25">
      <c r="A142" s="45" t="s">
        <v>518</v>
      </c>
      <c r="B142" s="37"/>
      <c r="C142" s="37"/>
      <c r="D142" s="41">
        <f>SUM(D137:D141)</f>
        <v>244</v>
      </c>
      <c r="E142" s="62"/>
    </row>
    <row r="144" spans="1:13" x14ac:dyDescent="0.25">
      <c r="A144" s="2" t="s">
        <v>564</v>
      </c>
    </row>
    <row r="145" spans="1:13" x14ac:dyDescent="0.25">
      <c r="A145" s="44" t="s">
        <v>538</v>
      </c>
      <c r="B145" s="23"/>
      <c r="C145" s="23"/>
      <c r="D145" s="31" t="s">
        <v>465</v>
      </c>
      <c r="E145" s="31" t="s">
        <v>463</v>
      </c>
    </row>
    <row r="146" spans="1:13" x14ac:dyDescent="0.25">
      <c r="A146" s="22" t="s">
        <v>366</v>
      </c>
      <c r="B146" s="1" t="s">
        <v>467</v>
      </c>
      <c r="C146" s="24"/>
      <c r="D146" s="32">
        <v>36</v>
      </c>
      <c r="E146" s="34">
        <f>D146/$D$151*100</f>
        <v>18</v>
      </c>
    </row>
    <row r="147" spans="1:13" x14ac:dyDescent="0.25">
      <c r="A147" s="22" t="s">
        <v>367</v>
      </c>
      <c r="B147" s="1" t="s">
        <v>438</v>
      </c>
      <c r="C147" s="24"/>
      <c r="D147" s="32">
        <v>110</v>
      </c>
      <c r="E147" s="34">
        <f>D147/$D$151*100</f>
        <v>55.000000000000007</v>
      </c>
    </row>
    <row r="148" spans="1:13" x14ac:dyDescent="0.25">
      <c r="A148" s="22" t="s">
        <v>383</v>
      </c>
      <c r="B148" s="1" t="s">
        <v>468</v>
      </c>
      <c r="C148" s="24"/>
      <c r="D148" s="32">
        <v>30</v>
      </c>
      <c r="E148" s="34">
        <f>D148/$D$151*100</f>
        <v>15</v>
      </c>
    </row>
    <row r="149" spans="1:13" x14ac:dyDescent="0.25">
      <c r="A149" s="22" t="s">
        <v>399</v>
      </c>
      <c r="B149" s="1" t="s">
        <v>469</v>
      </c>
      <c r="C149" s="24"/>
      <c r="D149" s="32">
        <v>12</v>
      </c>
      <c r="E149" s="34">
        <f>D149/$D$151*100</f>
        <v>6</v>
      </c>
    </row>
    <row r="150" spans="1:13" x14ac:dyDescent="0.25">
      <c r="A150" s="22" t="s">
        <v>480</v>
      </c>
      <c r="B150" s="1" t="s">
        <v>228</v>
      </c>
      <c r="C150" s="24"/>
      <c r="D150" s="32">
        <v>12</v>
      </c>
      <c r="E150" s="34">
        <f>D150/$D$151*100</f>
        <v>6</v>
      </c>
    </row>
    <row r="151" spans="1:13" x14ac:dyDescent="0.25">
      <c r="A151" s="45" t="s">
        <v>518</v>
      </c>
      <c r="B151" s="37"/>
      <c r="C151" s="37"/>
      <c r="D151" s="36">
        <f>SUM(D146:D150)</f>
        <v>200</v>
      </c>
      <c r="E151" s="62"/>
    </row>
    <row r="152" spans="1:13" x14ac:dyDescent="0.25">
      <c r="M152" s="65" t="s">
        <v>553</v>
      </c>
    </row>
    <row r="168" spans="13:13" x14ac:dyDescent="0.25">
      <c r="M168" s="65" t="s">
        <v>554</v>
      </c>
    </row>
  </sheetData>
  <sortState xmlns:xlrd2="http://schemas.microsoft.com/office/spreadsheetml/2017/richdata2" ref="A146:E150">
    <sortCondition ref="A146:A150"/>
  </sortState>
  <mergeCells count="2">
    <mergeCell ref="A13:C13"/>
    <mergeCell ref="A109:C10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abbreviations</vt:lpstr>
      <vt:lpstr>data</vt:lpstr>
      <vt:lpstr>mix ingredient details</vt:lpstr>
      <vt:lpstr>data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Iftekhair Ibnul Bashar</dc:creator>
  <cp:lastModifiedBy>Jamat House</cp:lastModifiedBy>
  <cp:lastPrinted>2021-09-13T02:43:04Z</cp:lastPrinted>
  <dcterms:created xsi:type="dcterms:W3CDTF">2015-06-05T18:17:20Z</dcterms:created>
  <dcterms:modified xsi:type="dcterms:W3CDTF">2022-08-28T13:30:19Z</dcterms:modified>
</cp:coreProperties>
</file>